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codeName="ThisWorkbook"/>
  <xr:revisionPtr revIDLastSave="350" documentId="8_{DE315942-DAEB-4D1B-958E-D39A747EFB08}" xr6:coauthVersionLast="47" xr6:coauthVersionMax="47" xr10:uidLastSave="{2CD97AC4-3E9A-43E2-B765-72A00A9BB160}"/>
  <bookViews>
    <workbookView xWindow="-108" yWindow="-108" windowWidth="23256" windowHeight="12456" xr2:uid="{00000000-000D-0000-FFFF-FFFF00000000}"/>
  </bookViews>
  <sheets>
    <sheet name="Summary" sheetId="1" r:id="rId1"/>
    <sheet name="Income" sheetId="3" r:id="rId2"/>
    <sheet name="Expenses" sheetId="5" r:id="rId3"/>
    <sheet name="Checking" sheetId="9" r:id="rId4"/>
    <sheet name="Savings" sheetId="10" r:id="rId5"/>
    <sheet name="CD" sheetId="11" r:id="rId6"/>
    <sheet name="Reserve Sch." sheetId="7" r:id="rId7"/>
    <sheet name="Fin. Statement" sheetId="8" r:id="rId8"/>
  </sheets>
  <definedNames>
    <definedName name="_xlnm._FilterDatabase" localSheetId="2" hidden="1">Expenses!#REF!</definedName>
    <definedName name="_xlnm._FilterDatabase" localSheetId="1" hidden="1">Income!#REF!</definedName>
    <definedName name="_xlnm._FilterDatabase" localSheetId="0" hidden="1">Income!#REF!</definedName>
    <definedName name="BUDGET_Title">Summary!$B$2</definedName>
    <definedName name="ColumnTitle1">Totals[[#Headers],[BUDGET TOTALS]]</definedName>
    <definedName name="COMPANY_NAME">Summary!$B$1</definedName>
    <definedName name="_xlnm.Print_Titles" localSheetId="2">Expenses!$4:$4</definedName>
    <definedName name="_xlnm.Print_Titles" localSheetId="1">Income!$4:$4</definedName>
    <definedName name="Title1">#REF!</definedName>
    <definedName name="Title2">Income[[#Headers],[INCOME]]</definedName>
    <definedName name="Title3">#REF!</definedName>
    <definedName name="Title4">OperatingExpenses[[#Headers],[OPERATING EXPENSES]]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5" l="1"/>
  <c r="D6" i="1" s="1"/>
  <c r="C6" i="3"/>
  <c r="C6" i="1" l="1"/>
  <c r="D7" i="1"/>
  <c r="E7" i="1"/>
  <c r="H10" i="8"/>
  <c r="F7" i="3"/>
  <c r="F8" i="3"/>
  <c r="F6" i="3"/>
  <c r="H48" i="8"/>
  <c r="E6" i="7"/>
  <c r="H80" i="8"/>
  <c r="H35" i="8"/>
  <c r="H17" i="8" l="1"/>
  <c r="H28" i="8"/>
  <c r="D6" i="7"/>
  <c r="H73" i="8"/>
  <c r="H49" i="8"/>
  <c r="E7" i="3"/>
  <c r="H46" i="8"/>
  <c r="H64" i="8"/>
  <c r="H53" i="8"/>
  <c r="H60" i="8" s="1"/>
  <c r="C6" i="7"/>
  <c r="F4" i="11"/>
  <c r="F5" i="11" s="1"/>
  <c r="F6" i="11" s="1"/>
  <c r="F7" i="11" s="1"/>
  <c r="F8" i="11" s="1"/>
  <c r="F9" i="11" s="1"/>
  <c r="F10" i="11" s="1"/>
  <c r="F11" i="11" s="1"/>
  <c r="F12" i="11" s="1"/>
  <c r="F13" i="11" s="1"/>
  <c r="F14" i="11" s="1"/>
  <c r="F15" i="11" s="1"/>
  <c r="H47" i="8"/>
  <c r="H77" i="8" l="1"/>
  <c r="H50" i="8"/>
  <c r="H36" i="8"/>
  <c r="I4" i="10"/>
  <c r="I5" i="10" s="1"/>
  <c r="I6" i="10" s="1"/>
  <c r="I7" i="10" s="1"/>
  <c r="I8" i="10" s="1"/>
  <c r="I9" i="10" s="1"/>
  <c r="I10" i="10" s="1"/>
  <c r="I11" i="10" s="1"/>
  <c r="I12" i="10" s="1"/>
  <c r="I13" i="10" s="1"/>
  <c r="I14" i="10" s="1"/>
  <c r="I15" i="10" s="1"/>
  <c r="I16" i="10" s="1"/>
  <c r="I17" i="10" s="1"/>
  <c r="I18" i="10" s="1"/>
  <c r="I19" i="10" s="1"/>
  <c r="I20" i="10" s="1"/>
  <c r="I21" i="10" s="1"/>
  <c r="I22" i="10" s="1"/>
  <c r="I23" i="10" s="1"/>
  <c r="I24" i="10" s="1"/>
  <c r="I25" i="10" s="1"/>
  <c r="I26" i="10" s="1"/>
  <c r="I27" i="10" s="1"/>
  <c r="I28" i="10" s="1"/>
  <c r="I29" i="10" s="1"/>
  <c r="I30" i="10" s="1"/>
  <c r="I31" i="10" s="1"/>
  <c r="I32" i="10" s="1"/>
  <c r="I33" i="10" s="1"/>
  <c r="I34" i="10" s="1"/>
  <c r="I35" i="10" s="1"/>
  <c r="I36" i="10" s="1"/>
  <c r="I37" i="10" s="1"/>
  <c r="I38" i="10" s="1"/>
  <c r="I39" i="10" s="1"/>
  <c r="I40" i="10" s="1"/>
  <c r="I41" i="10" s="1"/>
  <c r="I42" i="10" s="1"/>
  <c r="I43" i="10" s="1"/>
  <c r="I44" i="10" s="1"/>
  <c r="I45" i="10" s="1"/>
  <c r="I46" i="10" s="1"/>
  <c r="I47" i="10" s="1"/>
  <c r="I48" i="10" s="1"/>
  <c r="I49" i="10" s="1"/>
  <c r="I50" i="10" s="1"/>
  <c r="H9" i="8" s="1"/>
  <c r="F4" i="9"/>
  <c r="F5" i="9" s="1"/>
  <c r="F6" i="7"/>
  <c r="G6" i="7" s="1"/>
  <c r="H6" i="7" s="1"/>
  <c r="I6" i="7" s="1"/>
  <c r="C27" i="5"/>
  <c r="C3" i="7"/>
  <c r="D3" i="7" s="1"/>
  <c r="E3" i="7" s="1"/>
  <c r="F3" i="7" s="1"/>
  <c r="G3" i="7" s="1"/>
  <c r="H3" i="7" s="1"/>
  <c r="I3" i="7" s="1"/>
  <c r="B10" i="7" s="1"/>
  <c r="C10" i="7" s="1"/>
  <c r="D10" i="7" s="1"/>
  <c r="E10" i="7" s="1"/>
  <c r="F10" i="7" s="1"/>
  <c r="G10" i="7" s="1"/>
  <c r="H10" i="7" s="1"/>
  <c r="I10" i="7" s="1"/>
  <c r="B17" i="7" s="1"/>
  <c r="C17" i="7" s="1"/>
  <c r="D17" i="7" s="1"/>
  <c r="E17" i="7" s="1"/>
  <c r="F17" i="7" s="1"/>
  <c r="G17" i="7" s="1"/>
  <c r="H17" i="7" s="1"/>
  <c r="I17" i="7" s="1"/>
  <c r="B24" i="7" s="1"/>
  <c r="C24" i="7" s="1"/>
  <c r="D24" i="7" s="1"/>
  <c r="E24" i="7" s="1"/>
  <c r="F24" i="7" s="1"/>
  <c r="G24" i="7" s="1"/>
  <c r="B8" i="7"/>
  <c r="C5" i="7" s="1"/>
  <c r="F43" i="5"/>
  <c r="F41" i="5"/>
  <c r="F40" i="5"/>
  <c r="F46" i="5"/>
  <c r="F2" i="5" a="1"/>
  <c r="F2" i="5" s="1"/>
  <c r="F53" i="5"/>
  <c r="C29" i="5" s="1"/>
  <c r="C51" i="5"/>
  <c r="F36" i="5"/>
  <c r="F37" i="5"/>
  <c r="F38" i="5"/>
  <c r="F39" i="5"/>
  <c r="F42" i="5"/>
  <c r="F44" i="5"/>
  <c r="F45" i="5"/>
  <c r="F47" i="5"/>
  <c r="F35" i="5"/>
  <c r="E11" i="5"/>
  <c r="F11" i="5"/>
  <c r="E26" i="5"/>
  <c r="C30" i="5" l="1"/>
  <c r="C31" i="5" s="1"/>
  <c r="C32" i="5" s="1"/>
  <c r="C28" i="5"/>
  <c r="C7" i="1"/>
  <c r="F6" i="9"/>
  <c r="F7" i="9" s="1"/>
  <c r="F8" i="9" s="1"/>
  <c r="F9" i="9" s="1"/>
  <c r="B13" i="7"/>
  <c r="C13" i="7" s="1"/>
  <c r="D13" i="7" s="1"/>
  <c r="E13" i="7" s="1"/>
  <c r="F13" i="7" s="1"/>
  <c r="G13" i="7" s="1"/>
  <c r="H13" i="7" s="1"/>
  <c r="I13" i="7" s="1"/>
  <c r="C8" i="7"/>
  <c r="F51" i="5"/>
  <c r="F26" i="5" s="1"/>
  <c r="F10" i="9" l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H12" i="8" s="1"/>
  <c r="H18" i="8" s="1"/>
  <c r="H19" i="8" s="1"/>
  <c r="D5" i="7"/>
  <c r="D8" i="7" s="1"/>
  <c r="E5" i="7" s="1"/>
  <c r="E8" i="7" s="1"/>
  <c r="F5" i="7" s="1"/>
  <c r="H30" i="8"/>
  <c r="H37" i="8" s="1"/>
  <c r="B20" i="7"/>
  <c r="C20" i="7" s="1"/>
  <c r="D20" i="7" s="1"/>
  <c r="E20" i="7" s="1"/>
  <c r="F20" i="7" s="1"/>
  <c r="G20" i="7" s="1"/>
  <c r="H20" i="7" s="1"/>
  <c r="I20" i="7" s="1"/>
  <c r="D51" i="5"/>
  <c r="F25" i="5"/>
  <c r="E25" i="5"/>
  <c r="F24" i="5"/>
  <c r="E24" i="5"/>
  <c r="F23" i="5"/>
  <c r="E23" i="5"/>
  <c r="F22" i="5"/>
  <c r="E22" i="5"/>
  <c r="F21" i="5"/>
  <c r="E21" i="5"/>
  <c r="F20" i="5"/>
  <c r="E20" i="5"/>
  <c r="F19" i="5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F10" i="5"/>
  <c r="E10" i="5"/>
  <c r="F9" i="5"/>
  <c r="E9" i="5"/>
  <c r="F8" i="5"/>
  <c r="E8" i="5"/>
  <c r="F7" i="5"/>
  <c r="E7" i="5"/>
  <c r="F6" i="5"/>
  <c r="E6" i="5"/>
  <c r="F5" i="5"/>
  <c r="E5" i="5"/>
  <c r="B1" i="5"/>
  <c r="E6" i="1" l="1"/>
  <c r="B27" i="7"/>
  <c r="C27" i="7" s="1"/>
  <c r="D27" i="7" s="1"/>
  <c r="E27" i="7" s="1"/>
  <c r="F27" i="7" s="1"/>
  <c r="G27" i="7" s="1"/>
  <c r="F8" i="7"/>
  <c r="G5" i="7" s="1"/>
  <c r="D9" i="3"/>
  <c r="E8" i="3"/>
  <c r="E6" i="3"/>
  <c r="E5" i="3"/>
  <c r="D5" i="1" l="1"/>
  <c r="D8" i="1" s="1"/>
  <c r="E8" i="1" s="1"/>
  <c r="H81" i="8"/>
  <c r="H40" i="8" s="1"/>
  <c r="G8" i="7"/>
  <c r="H5" i="7" s="1"/>
  <c r="B1" i="3"/>
  <c r="H8" i="7" l="1"/>
  <c r="I5" i="7" s="1"/>
  <c r="I8" i="7" l="1"/>
  <c r="B12" i="7" s="1"/>
  <c r="F27" i="5"/>
  <c r="H26" i="8" s="1"/>
  <c r="H41" i="8" s="1"/>
  <c r="J41" i="8" s="1"/>
  <c r="B15" i="7" l="1"/>
  <c r="C12" i="7" s="1"/>
  <c r="C15" i="7" s="1"/>
  <c r="D12" i="7" s="1"/>
  <c r="D15" i="7" s="1"/>
  <c r="E12" i="7" s="1"/>
  <c r="E15" i="7" s="1"/>
  <c r="F12" i="7" s="1"/>
  <c r="F15" i="7" s="1"/>
  <c r="G12" i="7" s="1"/>
  <c r="G15" i="7" s="1"/>
  <c r="H12" i="7" s="1"/>
  <c r="H15" i="7" s="1"/>
  <c r="I12" i="7" s="1"/>
  <c r="I15" i="7" s="1"/>
  <c r="B19" i="7" s="1"/>
  <c r="B22" i="7" s="1"/>
  <c r="C19" i="7" s="1"/>
  <c r="C22" i="7" s="1"/>
  <c r="D19" i="7" s="1"/>
  <c r="D22" i="7" s="1"/>
  <c r="E19" i="7" s="1"/>
  <c r="E22" i="7" s="1"/>
  <c r="F19" i="7" s="1"/>
  <c r="F22" i="7" s="1"/>
  <c r="G19" i="7" s="1"/>
  <c r="G22" i="7" s="1"/>
  <c r="H19" i="7" s="1"/>
  <c r="H22" i="7" s="1"/>
  <c r="I19" i="7" s="1"/>
  <c r="I22" i="7" s="1"/>
  <c r="B26" i="7" s="1"/>
  <c r="B29" i="7" s="1"/>
  <c r="C26" i="7" s="1"/>
  <c r="C29" i="7" s="1"/>
  <c r="D26" i="7" s="1"/>
  <c r="D29" i="7" s="1"/>
  <c r="E26" i="7" s="1"/>
  <c r="E29" i="7" s="1"/>
  <c r="F26" i="7" s="1"/>
  <c r="F29" i="7" s="1"/>
  <c r="G26" i="7" s="1"/>
  <c r="G29" i="7" s="1"/>
  <c r="C5" i="3" l="1"/>
  <c r="F5" i="3" s="1"/>
  <c r="F9" i="3" l="1"/>
  <c r="C9" i="3"/>
  <c r="C5" i="1" s="1"/>
  <c r="C8" i="1" l="1"/>
  <c r="E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453B580-A744-4B2C-8CB5-A914B399153E}" keepAlive="1" name="Query - Totals" description="Connection to the 'Totals' query in the workbook." type="5" refreshedVersion="0" background="1" saveData="1">
    <dbPr connection="Provider=Microsoft.Mashup.OleDb.1;Data Source=$Workbook$;Location=Totals;Extended Properties=&quot;&quot;" command="SELECT * FROM [Total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<sst xmlns="http://schemas.openxmlformats.org/spreadsheetml/2006/main" count="272" uniqueCount="164">
  <si>
    <t>Other</t>
  </si>
  <si>
    <t>Insurance</t>
  </si>
  <si>
    <t>Office supplies</t>
  </si>
  <si>
    <t>Postage</t>
  </si>
  <si>
    <t>Income</t>
  </si>
  <si>
    <t>Expenses</t>
  </si>
  <si>
    <t>DIFFERENCE</t>
  </si>
  <si>
    <t>INCOME</t>
  </si>
  <si>
    <t>TOP 5 AMOUNT</t>
  </si>
  <si>
    <t>OPERATING EXPENSES</t>
  </si>
  <si>
    <t>BUDGET TOTALS</t>
  </si>
  <si>
    <t>Legal and auditing</t>
  </si>
  <si>
    <t>Interest income</t>
  </si>
  <si>
    <t>Total Income</t>
  </si>
  <si>
    <t>Total Operating Expenses</t>
  </si>
  <si>
    <t>Marita's Vineyard Estates Homeowners Association</t>
  </si>
  <si>
    <t>ANNUAL BUDGET</t>
  </si>
  <si>
    <t>HOA Dues</t>
  </si>
  <si>
    <t>Website</t>
  </si>
  <si>
    <t>Bookkeeping Service</t>
  </si>
  <si>
    <t>CPA/Tax Preparation</t>
  </si>
  <si>
    <t>Bank Charges</t>
  </si>
  <si>
    <t>Licenses/Registrations</t>
  </si>
  <si>
    <t>Street Sweeping</t>
  </si>
  <si>
    <t>Landscaping Maintenance</t>
  </si>
  <si>
    <t>Irrigation Maintenance</t>
  </si>
  <si>
    <t>PO Box Rental</t>
  </si>
  <si>
    <t>Gate/Lighting Maintenance</t>
  </si>
  <si>
    <t xml:space="preserve">  Electric Irrg/Lights/Gates</t>
  </si>
  <si>
    <t>Miscellaneous</t>
  </si>
  <si>
    <t>Reserves to Reserve Account</t>
  </si>
  <si>
    <t>RESERVES ANALYSIS</t>
  </si>
  <si>
    <t>Irrigation Controls</t>
  </si>
  <si>
    <t>Gate Access Controls</t>
  </si>
  <si>
    <t>Gate Operators</t>
  </si>
  <si>
    <t>Mailboxes</t>
  </si>
  <si>
    <t>Cost Replacement</t>
  </si>
  <si>
    <t>Irrigation pumps</t>
  </si>
  <si>
    <t>Storm Detention Pond Dredge</t>
  </si>
  <si>
    <t>Interval Years</t>
  </si>
  <si>
    <t>Annual Average</t>
  </si>
  <si>
    <t>Total Needed for Reserves</t>
  </si>
  <si>
    <t>Previous Year Average Inflated</t>
  </si>
  <si>
    <t>Annual Dues Required per Lot</t>
  </si>
  <si>
    <t>Total Annual Dues Income</t>
  </si>
  <si>
    <t>Lot Maintenance Assessments</t>
  </si>
  <si>
    <t>Total Expenses w/ Reserves</t>
  </si>
  <si>
    <t>Deposit to Reserve Account</t>
  </si>
  <si>
    <t>Signage</t>
  </si>
  <si>
    <t>Stonework/CMU</t>
  </si>
  <si>
    <t>Road Resurface</t>
  </si>
  <si>
    <t>Road Sealcoat etc.</t>
  </si>
  <si>
    <t>Gates Repair</t>
  </si>
  <si>
    <t>Stormwater Pond Fence</t>
  </si>
  <si>
    <t>Storm System Drains Pumpout</t>
  </si>
  <si>
    <t>Storm Pumpout (in reserves)</t>
  </si>
  <si>
    <t>HOA Lot Maintenance</t>
  </si>
  <si>
    <t>Reserve Account</t>
  </si>
  <si>
    <t>Starting Deposit by Developer</t>
  </si>
  <si>
    <t>Expenses Paid from Reserves</t>
  </si>
  <si>
    <t>Carryover from Prior Year</t>
  </si>
  <si>
    <t>N/A</t>
  </si>
  <si>
    <t>Balance Sheet</t>
  </si>
  <si>
    <t>Marita's Vineyard Homeowners Estates Association</t>
  </si>
  <si>
    <t>Assets</t>
  </si>
  <si>
    <t>Current Assets</t>
  </si>
  <si>
    <t>Operations Fund</t>
  </si>
  <si>
    <t>Reserve Fund</t>
  </si>
  <si>
    <t>Total Bank Accounts</t>
  </si>
  <si>
    <t>Accounts Receivable</t>
  </si>
  <si>
    <t>Speacial Assessments</t>
  </si>
  <si>
    <t>Total Accounts Receivable</t>
  </si>
  <si>
    <t>Total Assets</t>
  </si>
  <si>
    <t>Equity</t>
  </si>
  <si>
    <t>Liabilities</t>
  </si>
  <si>
    <t>Current Liabilities</t>
  </si>
  <si>
    <t>Total Current Liabilites</t>
  </si>
  <si>
    <t>Total Long-Term Liabilities</t>
  </si>
  <si>
    <t>Toal Liabilities</t>
  </si>
  <si>
    <t>Opening Balance Equity</t>
  </si>
  <si>
    <t>Members Contributions</t>
  </si>
  <si>
    <t>Total Members Investment</t>
  </si>
  <si>
    <t>Retained Earnings</t>
  </si>
  <si>
    <t>Net Income</t>
  </si>
  <si>
    <t>Total Equity</t>
  </si>
  <si>
    <t>Total Liabilities &amp; Equity</t>
  </si>
  <si>
    <t>Total Current Assets</t>
  </si>
  <si>
    <t>Liabilities &amp; Equity</t>
  </si>
  <si>
    <t>Profit &amp; Loss</t>
  </si>
  <si>
    <t>Additional Lot Maintenance Asseements</t>
  </si>
  <si>
    <t>Interest Income</t>
  </si>
  <si>
    <t>Other Income</t>
  </si>
  <si>
    <t>Street Maintenance</t>
  </si>
  <si>
    <t>Landscape Maintenance</t>
  </si>
  <si>
    <t>Gate Maintenance</t>
  </si>
  <si>
    <t>Storm Water Maintenance (Reserve item)</t>
  </si>
  <si>
    <t>Special Lot Maintenance</t>
  </si>
  <si>
    <t>Total Maintenance</t>
  </si>
  <si>
    <t>Electrical service</t>
  </si>
  <si>
    <t>Total Utilities</t>
  </si>
  <si>
    <t>Bookkeeping</t>
  </si>
  <si>
    <t>Office Supples</t>
  </si>
  <si>
    <t>Reserve Study Updates</t>
  </si>
  <si>
    <t>Total Administration</t>
  </si>
  <si>
    <t>Reserve Funding Reqiuirement</t>
  </si>
  <si>
    <t>Total Expenses</t>
  </si>
  <si>
    <t>Annual Reserve Study Update</t>
  </si>
  <si>
    <t>Balance</t>
  </si>
  <si>
    <t>Deposits From Dues/Interest</t>
  </si>
  <si>
    <t>Year</t>
  </si>
  <si>
    <t>Inflation Factor:</t>
  </si>
  <si>
    <t>Reserve Balance*</t>
  </si>
  <si>
    <t>* Reserve Balances are as of 12/31</t>
  </si>
  <si>
    <t>CHECKING ACCOUNT</t>
  </si>
  <si>
    <t>DATE</t>
  </si>
  <si>
    <t>DEPOSIT</t>
  </si>
  <si>
    <t>DEDUCTION</t>
  </si>
  <si>
    <t>BALANCE</t>
  </si>
  <si>
    <t>PAYER/PAYEE</t>
  </si>
  <si>
    <t>DESCRIPTION</t>
  </si>
  <si>
    <t>Chelan PUD</t>
  </si>
  <si>
    <t>SAVINGS ACCOUNT (RESERVES)</t>
  </si>
  <si>
    <t>Reserve Liability</t>
  </si>
  <si>
    <t>Long- Term Liabilities (Reserve Fund)</t>
  </si>
  <si>
    <t>Beginning Balance for Year</t>
  </si>
  <si>
    <t>Gate/Lights</t>
  </si>
  <si>
    <t>Evergreen Accounting</t>
  </si>
  <si>
    <t>Beginning Balance year</t>
  </si>
  <si>
    <t>Interest</t>
  </si>
  <si>
    <t>13 mo. 3.05%, 2900000288142</t>
  </si>
  <si>
    <t>Certificate of Deposit Account (RESERVES)</t>
  </si>
  <si>
    <t>Transfer from Savings/Reserves</t>
  </si>
  <si>
    <t>Operating Expenses</t>
  </si>
  <si>
    <t>3 of 30 YR Capital Repair/Replacement Expense</t>
  </si>
  <si>
    <t>Regular Annual Dues (2024 Dues)</t>
  </si>
  <si>
    <t>January thru December 2024</t>
  </si>
  <si>
    <t>Interest (Est.)</t>
  </si>
  <si>
    <t>Wheatland Bank</t>
  </si>
  <si>
    <t>Deposit to Checking / Maturity</t>
  </si>
  <si>
    <t>New 4 Month CD</t>
  </si>
  <si>
    <t>Wheatland Bank Checking</t>
  </si>
  <si>
    <t>Wheatland Bank Savings</t>
  </si>
  <si>
    <t>Wheatland Bank CD</t>
  </si>
  <si>
    <t>CD Rollover 6 Month</t>
  </si>
  <si>
    <t>As of December 31, 2024</t>
  </si>
  <si>
    <t>Expense</t>
  </si>
  <si>
    <t>ACTUAL 2024</t>
  </si>
  <si>
    <t>ESTIMATED 2025</t>
  </si>
  <si>
    <t xml:space="preserve">Snow Removal/Sanding </t>
  </si>
  <si>
    <t>ANNUAL BUDGET 2025</t>
  </si>
  <si>
    <t>Annual Budget 2025</t>
  </si>
  <si>
    <t>Walker Lot 17</t>
  </si>
  <si>
    <t>CPA</t>
  </si>
  <si>
    <t>Goodman Lot 9</t>
  </si>
  <si>
    <t>Marita Properties LLC (12 Lots)</t>
  </si>
  <si>
    <t>Transfer to CD Reserves</t>
  </si>
  <si>
    <t>Reserves</t>
  </si>
  <si>
    <t>Wire fee</t>
  </si>
  <si>
    <t>Checks</t>
  </si>
  <si>
    <t>Weatland Bank</t>
  </si>
  <si>
    <t>Interest &amp; Rollover CD #4691</t>
  </si>
  <si>
    <t>New CD #4463</t>
  </si>
  <si>
    <t>K&amp;L Lot 21</t>
  </si>
  <si>
    <t>Surplus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</si>
</sst>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(&quot;$&quot;* #,##0_);_(&quot;$&quot;* \(#,##0\);_(&quot;$&quot;* &quot;-&quot;_);_(@_)"/>
    <numFmt numFmtId="41" formatCode="_(* #,##0_);_(* \(#,##0\);_(* &quot;-&quot;_);_(@_)"/>
    <numFmt numFmtId="164" formatCode="mmmm\ yyyy"/>
    <numFmt numFmtId="165" formatCode="0.0%"/>
    <numFmt numFmtId="166" formatCode="&quot;$&quot;#,##0"/>
    <numFmt numFmtId="167" formatCode="yyyy\-mm\-dd;@"/>
  </numFmts>
  <fonts count="29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2"/>
      <color theme="3"/>
      <name val="Gill Sans MT"/>
      <family val="2"/>
      <scheme val="minor"/>
    </font>
    <font>
      <sz val="16"/>
      <color theme="0"/>
      <name val="Gill Sans MT"/>
      <family val="2"/>
      <scheme val="major"/>
    </font>
    <font>
      <sz val="36"/>
      <color theme="0"/>
      <name val="Gill Sans MT"/>
      <family val="2"/>
      <scheme val="major"/>
    </font>
    <font>
      <sz val="11"/>
      <color theme="9" tint="-0.499984740745262"/>
      <name val="Gill Sans MT"/>
      <family val="2"/>
      <scheme val="minor"/>
    </font>
    <font>
      <sz val="11"/>
      <name val="Gill Sans MT"/>
      <family val="2"/>
      <scheme val="minor"/>
    </font>
    <font>
      <sz val="11"/>
      <color rgb="FF6C0000"/>
      <name val="Gill Sans MT"/>
      <family val="2"/>
      <scheme val="minor"/>
    </font>
    <font>
      <sz val="36"/>
      <color theme="3"/>
      <name val="Gill Sans MT"/>
      <family val="2"/>
      <scheme val="major"/>
    </font>
    <font>
      <sz val="16"/>
      <color theme="3"/>
      <name val="Gill Sans MT"/>
      <family val="2"/>
      <scheme val="major"/>
    </font>
    <font>
      <sz val="11"/>
      <color theme="3"/>
      <name val="Gill Sans MT"/>
      <family val="2"/>
      <scheme val="major"/>
    </font>
    <font>
      <sz val="11"/>
      <color theme="0" tint="-4.9989318521683403E-2"/>
      <name val="Gill Sans MT"/>
      <family val="2"/>
      <scheme val="minor"/>
    </font>
    <font>
      <sz val="11"/>
      <color theme="1" tint="4.9989318521683403E-2"/>
      <name val="Gill Sans MT"/>
      <family val="2"/>
      <scheme val="major"/>
    </font>
    <font>
      <sz val="11"/>
      <color theme="0"/>
      <name val="Gill Sans MT"/>
      <family val="2"/>
      <scheme val="minor"/>
    </font>
    <font>
      <b/>
      <sz val="11"/>
      <color theme="1"/>
      <name val="Gill Sans MT"/>
      <family val="2"/>
      <scheme val="minor"/>
    </font>
    <font>
      <b/>
      <sz val="10"/>
      <color theme="1"/>
      <name val="Gill Sans MT"/>
      <family val="2"/>
      <scheme val="minor"/>
    </font>
    <font>
      <b/>
      <sz val="12"/>
      <color theme="1"/>
      <name val="Gill Sans MT"/>
      <family val="2"/>
      <scheme val="minor"/>
    </font>
    <font>
      <b/>
      <sz val="14"/>
      <color theme="1"/>
      <name val="Gill Sans MT"/>
      <family val="2"/>
      <scheme val="minor"/>
    </font>
    <font>
      <sz val="9"/>
      <color theme="1"/>
      <name val="Gill Sans MT"/>
      <family val="2"/>
      <scheme val="minor"/>
    </font>
    <font>
      <b/>
      <i/>
      <sz val="11"/>
      <color theme="1"/>
      <name val="Gill Sans MT"/>
      <family val="2"/>
      <scheme val="minor"/>
    </font>
    <font>
      <sz val="14"/>
      <color theme="1"/>
      <name val="Gill Sans MT"/>
      <family val="2"/>
      <scheme val="minor"/>
    </font>
    <font>
      <sz val="18"/>
      <color theme="1"/>
      <name val="Gill Sans MT"/>
      <family val="2"/>
      <scheme val="minor"/>
    </font>
    <font>
      <b/>
      <sz val="18"/>
      <color theme="1"/>
      <name val="Gill Sans MT"/>
      <family val="2"/>
      <scheme val="minor"/>
    </font>
    <font>
      <sz val="8"/>
      <color theme="1"/>
      <name val="Gill Sans MT"/>
      <family val="2"/>
      <scheme val="minor"/>
    </font>
    <font>
      <sz val="28"/>
      <color theme="3"/>
      <name val="Gill Sans MT"/>
      <family val="2"/>
      <scheme val="major"/>
    </font>
    <font>
      <sz val="26"/>
      <color theme="0"/>
      <name val="Gill Sans MT"/>
      <family val="2"/>
      <scheme val="major"/>
    </font>
    <font>
      <b/>
      <i/>
      <sz val="11"/>
      <color rgb="FFFF0000"/>
      <name val="Gill Sans MT"/>
      <family val="2"/>
      <scheme val="minor"/>
    </font>
    <font>
      <i/>
      <sz val="11"/>
      <color theme="1"/>
      <name val="Gill Sans MT"/>
      <family val="2"/>
      <scheme val="minor"/>
    </font>
    <font>
      <b/>
      <i/>
      <sz val="10"/>
      <color theme="1"/>
      <name val="Gill Sans MT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79998168889431442"/>
        <b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theme="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>
      <alignment horizontal="left" wrapText="1" indent="1"/>
    </xf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1" fillId="4" borderId="0" applyNumberFormat="0" applyBorder="0" applyAlignment="0" applyProtection="0"/>
    <xf numFmtId="0" fontId="9" fillId="0" borderId="0" applyNumberFormat="0" applyFill="0" applyAlignment="0" applyProtection="0"/>
    <xf numFmtId="0" fontId="12" fillId="8" borderId="0" applyBorder="0" applyProtection="0">
      <alignment horizontal="left" vertical="center" indent="1"/>
    </xf>
    <xf numFmtId="0" fontId="12" fillId="8" borderId="0" applyNumberFormat="0" applyBorder="0" applyProtection="0">
      <alignment horizontal="left" vertical="center"/>
    </xf>
    <xf numFmtId="0" fontId="1" fillId="0" borderId="0" applyNumberFormat="0" applyFill="0" applyAlignment="0" applyProtection="0"/>
    <xf numFmtId="0" fontId="7" fillId="0" borderId="0" applyNumberFormat="0" applyFill="0" applyBorder="0" applyAlignment="0" applyProtection="0"/>
    <xf numFmtId="40" fontId="1" fillId="0" borderId="0" applyFont="0" applyFill="0" applyBorder="0" applyProtection="0">
      <alignment horizontal="right"/>
    </xf>
    <xf numFmtId="165" fontId="1" fillId="0" borderId="0" applyFont="0" applyFill="0" applyBorder="0" applyProtection="0">
      <alignment horizontal="right"/>
    </xf>
    <xf numFmtId="164" fontId="10" fillId="5" borderId="0" applyFill="0" applyBorder="0">
      <alignment horizontal="right"/>
    </xf>
  </cellStyleXfs>
  <cellXfs count="127">
    <xf numFmtId="0" fontId="0" fillId="0" borderId="0" xfId="0">
      <alignment horizontal="left" wrapText="1" indent="1"/>
    </xf>
    <xf numFmtId="40" fontId="6" fillId="6" borderId="0" xfId="4" applyNumberFormat="1" applyFont="1" applyFill="1"/>
    <xf numFmtId="40" fontId="6" fillId="6" borderId="0" xfId="8" applyNumberFormat="1" applyFont="1" applyFill="1"/>
    <xf numFmtId="0" fontId="9" fillId="5" borderId="0" xfId="5" applyFill="1" applyAlignment="1">
      <alignment horizontal="left" indent="1"/>
    </xf>
    <xf numFmtId="0" fontId="0" fillId="5" borderId="0" xfId="0" applyFill="1">
      <alignment horizontal="left" wrapText="1" inden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>
      <alignment horizontal="left" wrapText="1" indent="1"/>
    </xf>
    <xf numFmtId="0" fontId="12" fillId="2" borderId="0" xfId="6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5" borderId="0" xfId="0" applyFont="1" applyFill="1" applyAlignment="1"/>
    <xf numFmtId="0" fontId="8" fillId="5" borderId="0" xfId="1" applyFill="1" applyAlignment="1">
      <alignment horizontal="left" indent="1"/>
    </xf>
    <xf numFmtId="0" fontId="4" fillId="5" borderId="0" xfId="0" applyFont="1" applyFill="1" applyAlignment="1">
      <alignment vertical="center"/>
    </xf>
    <xf numFmtId="0" fontId="0" fillId="6" borderId="0" xfId="0" applyFill="1">
      <alignment horizontal="left" wrapText="1" indent="1"/>
    </xf>
    <xf numFmtId="0" fontId="6" fillId="6" borderId="0" xfId="0" applyFont="1" applyFill="1">
      <alignment horizontal="left" wrapText="1" indent="1"/>
    </xf>
    <xf numFmtId="0" fontId="0" fillId="6" borderId="0" xfId="0" applyFill="1" applyAlignment="1">
      <alignment vertical="center"/>
    </xf>
    <xf numFmtId="0" fontId="6" fillId="6" borderId="0" xfId="3" applyFont="1" applyFill="1" applyAlignment="1">
      <alignment vertical="center"/>
    </xf>
    <xf numFmtId="0" fontId="6" fillId="6" borderId="0" xfId="3" applyFont="1" applyFill="1"/>
    <xf numFmtId="40" fontId="1" fillId="7" borderId="0" xfId="10" applyFill="1" applyAlignment="1"/>
    <xf numFmtId="40" fontId="0" fillId="0" borderId="0" xfId="10" applyFont="1">
      <alignment horizontal="right"/>
    </xf>
    <xf numFmtId="0" fontId="12" fillId="8" borderId="0" xfId="6">
      <alignment horizontal="left" vertical="center" indent="1"/>
    </xf>
    <xf numFmtId="0" fontId="12" fillId="8" borderId="0" xfId="7">
      <alignment horizontal="left" vertical="center"/>
    </xf>
    <xf numFmtId="40" fontId="1" fillId="0" borderId="0" xfId="10" applyAlignme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0" fontId="0" fillId="6" borderId="0" xfId="10" applyFont="1" applyFill="1" applyAlignment="1" applyProtection="1">
      <alignment horizontal="left"/>
    </xf>
    <xf numFmtId="0" fontId="0" fillId="11" borderId="0" xfId="0" applyFill="1">
      <alignment horizontal="left" wrapText="1" indent="1"/>
    </xf>
    <xf numFmtId="3" fontId="0" fillId="6" borderId="0" xfId="0" applyNumberFormat="1" applyFill="1">
      <alignment horizontal="left" wrapText="1" indent="1"/>
    </xf>
    <xf numFmtId="3" fontId="0" fillId="6" borderId="0" xfId="0" applyNumberFormat="1" applyFill="1" applyAlignment="1">
      <alignment horizontal="right" wrapText="1" indent="1"/>
    </xf>
    <xf numFmtId="0" fontId="14" fillId="6" borderId="0" xfId="0" applyFont="1" applyFill="1">
      <alignment horizontal="left" wrapText="1" indent="1"/>
    </xf>
    <xf numFmtId="1" fontId="0" fillId="6" borderId="0" xfId="0" applyNumberFormat="1" applyFill="1">
      <alignment horizontal="left" wrapText="1" indent="1"/>
    </xf>
    <xf numFmtId="0" fontId="15" fillId="6" borderId="0" xfId="0" applyFont="1" applyFill="1">
      <alignment horizontal="left" wrapText="1" indent="1"/>
    </xf>
    <xf numFmtId="10" fontId="0" fillId="6" borderId="0" xfId="0" applyNumberFormat="1" applyFill="1">
      <alignment horizontal="left" wrapText="1" indent="1"/>
    </xf>
    <xf numFmtId="3" fontId="0" fillId="6" borderId="0" xfId="10" applyNumberFormat="1" applyFont="1" applyFill="1" applyProtection="1">
      <alignment horizontal="right"/>
    </xf>
    <xf numFmtId="3" fontId="1" fillId="0" borderId="0" xfId="10" applyNumberFormat="1" applyAlignment="1"/>
    <xf numFmtId="3" fontId="0" fillId="9" borderId="1" xfId="0" applyNumberFormat="1" applyFill="1" applyBorder="1" applyAlignment="1">
      <alignment wrapText="1"/>
    </xf>
    <xf numFmtId="3" fontId="0" fillId="9" borderId="1" xfId="0" applyNumberFormat="1" applyFill="1" applyBorder="1" applyAlignment="1">
      <alignment horizontal="right"/>
    </xf>
    <xf numFmtId="3" fontId="16" fillId="6" borderId="2" xfId="0" applyNumberFormat="1" applyFont="1" applyFill="1" applyBorder="1">
      <alignment horizontal="left" wrapText="1" indent="1"/>
    </xf>
    <xf numFmtId="40" fontId="0" fillId="6" borderId="0" xfId="10" applyFont="1" applyFill="1" applyAlignment="1" applyProtection="1">
      <protection locked="0"/>
    </xf>
    <xf numFmtId="40" fontId="1" fillId="7" borderId="0" xfId="10" applyFill="1" applyAlignment="1" applyProtection="1">
      <protection locked="0"/>
    </xf>
    <xf numFmtId="40" fontId="0" fillId="10" borderId="0" xfId="10" applyFont="1" applyFill="1" applyAlignment="1" applyProtection="1">
      <protection locked="0"/>
    </xf>
    <xf numFmtId="40" fontId="0" fillId="11" borderId="0" xfId="0" applyNumberFormat="1" applyFill="1" applyAlignment="1" applyProtection="1">
      <alignment wrapText="1"/>
      <protection locked="0"/>
    </xf>
    <xf numFmtId="40" fontId="1" fillId="11" borderId="0" xfId="10" applyFill="1" applyAlignment="1" applyProtection="1">
      <protection locked="0"/>
    </xf>
    <xf numFmtId="40" fontId="0" fillId="11" borderId="0" xfId="10" applyFont="1" applyFill="1" applyAlignment="1" applyProtection="1">
      <protection locked="0"/>
    </xf>
    <xf numFmtId="3" fontId="0" fillId="0" borderId="2" xfId="0" applyNumberFormat="1" applyBorder="1" applyProtection="1">
      <alignment horizontal="left" wrapText="1" indent="1"/>
      <protection locked="0"/>
    </xf>
    <xf numFmtId="165" fontId="0" fillId="0" borderId="2" xfId="0" applyNumberFormat="1" applyBorder="1" applyProtection="1">
      <alignment horizontal="left" wrapText="1" indent="1"/>
      <protection locked="0"/>
    </xf>
    <xf numFmtId="3" fontId="0" fillId="11" borderId="0" xfId="10" applyNumberFormat="1" applyFont="1" applyFill="1" applyAlignment="1" applyProtection="1">
      <protection locked="0"/>
    </xf>
    <xf numFmtId="0" fontId="12" fillId="2" borderId="0" xfId="6" applyFill="1">
      <alignment horizontal="left" vertical="center" indent="1"/>
    </xf>
    <xf numFmtId="0" fontId="12" fillId="2" borderId="0" xfId="7" applyFill="1">
      <alignment horizontal="left" vertical="center"/>
    </xf>
    <xf numFmtId="40" fontId="1" fillId="2" borderId="0" xfId="10" applyFill="1">
      <alignment horizontal="right"/>
    </xf>
    <xf numFmtId="165" fontId="1" fillId="2" borderId="0" xfId="11" applyFill="1">
      <alignment horizontal="right"/>
    </xf>
    <xf numFmtId="40" fontId="0" fillId="2" borderId="0" xfId="10" applyFont="1" applyFill="1" applyAlignment="1">
      <alignment wrapText="1"/>
    </xf>
    <xf numFmtId="165" fontId="0" fillId="2" borderId="0" xfId="11" applyFont="1" applyFill="1" applyAlignment="1">
      <alignment wrapText="1"/>
    </xf>
    <xf numFmtId="0" fontId="4" fillId="5" borderId="0" xfId="0" applyFont="1" applyFill="1" applyAlignment="1">
      <alignment horizontal="left" vertical="center"/>
    </xf>
    <xf numFmtId="40" fontId="0" fillId="11" borderId="0" xfId="10" applyFont="1" applyFill="1" applyAlignment="1" applyProtection="1"/>
    <xf numFmtId="3" fontId="0" fillId="6" borderId="0" xfId="0" applyNumberFormat="1" applyFill="1" applyAlignment="1">
      <alignment wrapText="1"/>
    </xf>
    <xf numFmtId="38" fontId="0" fillId="12" borderId="0" xfId="0" applyNumberFormat="1" applyFill="1" applyAlignment="1">
      <alignment wrapText="1"/>
    </xf>
    <xf numFmtId="0" fontId="0" fillId="6" borderId="3" xfId="0" applyFill="1" applyBorder="1">
      <alignment horizontal="left" wrapText="1" indent="1"/>
    </xf>
    <xf numFmtId="3" fontId="0" fillId="6" borderId="3" xfId="10" applyNumberFormat="1" applyFont="1" applyFill="1" applyBorder="1" applyAlignment="1"/>
    <xf numFmtId="3" fontId="14" fillId="6" borderId="0" xfId="0" applyNumberFormat="1" applyFont="1" applyFill="1" applyAlignment="1">
      <alignment wrapText="1"/>
    </xf>
    <xf numFmtId="0" fontId="0" fillId="12" borderId="3" xfId="0" applyFill="1" applyBorder="1">
      <alignment horizontal="left" wrapText="1" indent="1"/>
    </xf>
    <xf numFmtId="3" fontId="0" fillId="12" borderId="3" xfId="0" applyNumberFormat="1" applyFill="1" applyBorder="1" applyAlignment="1">
      <alignment wrapText="1"/>
    </xf>
    <xf numFmtId="3" fontId="0" fillId="12" borderId="0" xfId="0" applyNumberFormat="1" applyFill="1" applyAlignment="1">
      <alignment horizontal="right"/>
    </xf>
    <xf numFmtId="3" fontId="14" fillId="6" borderId="0" xfId="0" applyNumberFormat="1" applyFont="1" applyFill="1">
      <alignment horizontal="left" wrapText="1" indent="1"/>
    </xf>
    <xf numFmtId="0" fontId="14" fillId="2" borderId="0" xfId="0" applyFont="1" applyFill="1">
      <alignment horizontal="left" wrapText="1" indent="1"/>
    </xf>
    <xf numFmtId="4" fontId="1" fillId="2" borderId="0" xfId="10" applyNumberFormat="1" applyFill="1" applyProtection="1">
      <alignment horizontal="right"/>
      <protection locked="0"/>
    </xf>
    <xf numFmtId="4" fontId="0" fillId="2" borderId="0" xfId="10" applyNumberFormat="1" applyFont="1" applyFill="1" applyAlignment="1" applyProtection="1">
      <alignment wrapText="1"/>
      <protection locked="0"/>
    </xf>
    <xf numFmtId="0" fontId="14" fillId="0" borderId="0" xfId="0" applyFont="1">
      <alignment horizontal="left" wrapText="1" indent="1"/>
    </xf>
    <xf numFmtId="166" fontId="0" fillId="0" borderId="0" xfId="0" applyNumberFormat="1">
      <alignment horizontal="left" wrapText="1" indent="1"/>
    </xf>
    <xf numFmtId="166" fontId="14" fillId="0" borderId="0" xfId="0" applyNumberFormat="1" applyFont="1">
      <alignment horizontal="left" wrapText="1" indent="1"/>
    </xf>
    <xf numFmtId="166" fontId="0" fillId="13" borderId="0" xfId="0" applyNumberFormat="1" applyFill="1" applyProtection="1">
      <alignment horizontal="left" wrapText="1" indent="1"/>
      <protection locked="0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>
      <alignment horizontal="left" wrapText="1" indent="1"/>
    </xf>
    <xf numFmtId="0" fontId="14" fillId="0" borderId="0" xfId="0" applyFont="1" applyAlignment="1">
      <alignment horizontal="left" indent="1"/>
    </xf>
    <xf numFmtId="0" fontId="16" fillId="0" borderId="0" xfId="0" applyFont="1" applyAlignment="1">
      <alignment horizontal="left" indent="1"/>
    </xf>
    <xf numFmtId="0" fontId="17" fillId="0" borderId="0" xfId="0" applyFont="1" applyAlignment="1">
      <alignment horizontal="center"/>
    </xf>
    <xf numFmtId="42" fontId="0" fillId="0" borderId="0" xfId="0" applyNumberFormat="1">
      <alignment horizontal="left" wrapText="1" indent="1"/>
    </xf>
    <xf numFmtId="41" fontId="0" fillId="0" borderId="0" xfId="0" applyNumberFormat="1">
      <alignment horizontal="left" wrapText="1" indent="1"/>
    </xf>
    <xf numFmtId="41" fontId="14" fillId="0" borderId="0" xfId="0" applyNumberFormat="1" applyFont="1">
      <alignment horizontal="left" wrapText="1" indent="1"/>
    </xf>
    <xf numFmtId="41" fontId="16" fillId="0" borderId="0" xfId="0" applyNumberFormat="1" applyFont="1">
      <alignment horizontal="left" wrapText="1" indent="1"/>
    </xf>
    <xf numFmtId="0" fontId="17" fillId="0" borderId="0" xfId="0" applyFont="1" applyAlignment="1">
      <alignment horizontal="left" indent="1"/>
    </xf>
    <xf numFmtId="9" fontId="0" fillId="12" borderId="0" xfId="0" applyNumberFormat="1" applyFill="1" applyAlignment="1" applyProtection="1">
      <alignment horizontal="left" wrapText="1"/>
      <protection locked="0"/>
    </xf>
    <xf numFmtId="0" fontId="14" fillId="9" borderId="1" xfId="0" applyFont="1" applyFill="1" applyBorder="1">
      <alignment horizontal="left" wrapText="1" indent="1"/>
    </xf>
    <xf numFmtId="3" fontId="14" fillId="9" borderId="1" xfId="0" applyNumberFormat="1" applyFont="1" applyFill="1" applyBorder="1" applyAlignment="1">
      <alignment wrapText="1"/>
    </xf>
    <xf numFmtId="3" fontId="18" fillId="6" borderId="0" xfId="0" applyNumberFormat="1" applyFont="1" applyFill="1" applyAlignment="1">
      <alignment horizontal="right" wrapText="1" indent="1"/>
    </xf>
    <xf numFmtId="0" fontId="18" fillId="11" borderId="0" xfId="0" applyFont="1" applyFill="1">
      <alignment horizontal="left" wrapText="1" indent="1"/>
    </xf>
    <xf numFmtId="3" fontId="18" fillId="12" borderId="0" xfId="0" applyNumberFormat="1" applyFont="1" applyFill="1" applyAlignment="1">
      <alignment wrapText="1"/>
    </xf>
    <xf numFmtId="0" fontId="0" fillId="0" borderId="0" xfId="0" applyAlignment="1">
      <alignment horizontal="right" wrapText="1" indent="1"/>
    </xf>
    <xf numFmtId="10" fontId="0" fillId="0" borderId="0" xfId="0" applyNumberFormat="1">
      <alignment horizontal="left" wrapText="1" indent="1"/>
    </xf>
    <xf numFmtId="166" fontId="0" fillId="13" borderId="0" xfId="0" applyNumberFormat="1" applyFill="1">
      <alignment horizontal="left" wrapText="1" indent="1"/>
    </xf>
    <xf numFmtId="0" fontId="19" fillId="0" borderId="0" xfId="0" applyFont="1" applyAlignment="1">
      <alignment horizontal="left" indent="1"/>
    </xf>
    <xf numFmtId="0" fontId="20" fillId="0" borderId="0" xfId="0" applyFont="1" applyAlignment="1">
      <alignment horizontal="left" indent="1"/>
    </xf>
    <xf numFmtId="167" fontId="0" fillId="0" borderId="0" xfId="0" applyNumberFormat="1">
      <alignment horizontal="left" wrapText="1" indent="1"/>
    </xf>
    <xf numFmtId="4" fontId="0" fillId="0" borderId="0" xfId="0" applyNumberFormat="1">
      <alignment horizontal="left" wrapText="1" indent="1"/>
    </xf>
    <xf numFmtId="0" fontId="18" fillId="6" borderId="0" xfId="0" applyFont="1" applyFill="1">
      <alignment horizontal="left" wrapText="1" indent="1"/>
    </xf>
    <xf numFmtId="0" fontId="0" fillId="0" borderId="4" xfId="0" applyBorder="1">
      <alignment horizontal="left" wrapText="1" indent="1"/>
    </xf>
    <xf numFmtId="41" fontId="1" fillId="7" borderId="0" xfId="10" applyNumberFormat="1" applyFill="1" applyAlignment="1"/>
    <xf numFmtId="41" fontId="1" fillId="7" borderId="0" xfId="10" applyNumberFormat="1" applyFill="1" applyAlignment="1" applyProtection="1"/>
    <xf numFmtId="0" fontId="21" fillId="0" borderId="0" xfId="0" applyFont="1">
      <alignment horizontal="left" wrapText="1" indent="1"/>
    </xf>
    <xf numFmtId="0" fontId="22" fillId="0" borderId="0" xfId="0" applyFont="1">
      <alignment horizontal="left" wrapText="1" indent="1"/>
    </xf>
    <xf numFmtId="0" fontId="23" fillId="0" borderId="0" xfId="0" applyFont="1" applyAlignment="1">
      <alignment horizontal="left" indent="1"/>
    </xf>
    <xf numFmtId="0" fontId="24" fillId="5" borderId="0" xfId="1" applyFont="1" applyFill="1" applyAlignment="1">
      <alignment horizontal="left" indent="1"/>
    </xf>
    <xf numFmtId="0" fontId="25" fillId="5" borderId="0" xfId="0" applyFont="1" applyFill="1" applyAlignment="1" applyProtection="1">
      <alignment vertical="center"/>
      <protection locked="0"/>
    </xf>
    <xf numFmtId="14" fontId="0" fillId="0" borderId="0" xfId="0" applyNumberFormat="1">
      <alignment horizontal="left" wrapText="1" indent="1"/>
    </xf>
    <xf numFmtId="0" fontId="0" fillId="0" borderId="0" xfId="0" applyAlignment="1"/>
    <xf numFmtId="10" fontId="18" fillId="0" borderId="0" xfId="0" applyNumberFormat="1" applyFont="1">
      <alignment horizontal="left" wrapText="1" indent="1"/>
    </xf>
    <xf numFmtId="0" fontId="0" fillId="0" borderId="0" xfId="0" applyAlignment="1">
      <alignment wrapText="1"/>
    </xf>
    <xf numFmtId="3" fontId="0" fillId="0" borderId="5" xfId="0" applyNumberFormat="1" applyBorder="1">
      <alignment horizontal="left" wrapText="1" indent="1"/>
    </xf>
    <xf numFmtId="40" fontId="0" fillId="6" borderId="0" xfId="10" applyFont="1" applyFill="1" applyAlignment="1" applyProtection="1"/>
    <xf numFmtId="40" fontId="0" fillId="10" borderId="0" xfId="10" applyFont="1" applyFill="1" applyAlignment="1" applyProtection="1"/>
    <xf numFmtId="0" fontId="26" fillId="0" borderId="0" xfId="0" applyFont="1" applyAlignment="1">
      <alignment horizontal="left" indent="1"/>
    </xf>
    <xf numFmtId="41" fontId="0" fillId="0" borderId="0" xfId="0" applyNumberFormat="1" applyAlignment="1">
      <alignment horizontal="right"/>
    </xf>
    <xf numFmtId="0" fontId="0" fillId="10" borderId="0" xfId="0" applyFill="1">
      <alignment horizontal="left" wrapText="1" indent="1"/>
    </xf>
    <xf numFmtId="41" fontId="0" fillId="10" borderId="0" xfId="0" applyNumberFormat="1" applyFill="1" applyAlignment="1">
      <alignment wrapText="1"/>
    </xf>
    <xf numFmtId="4" fontId="27" fillId="0" borderId="0" xfId="0" applyNumberFormat="1" applyFont="1">
      <alignment horizontal="left" wrapText="1" indent="1"/>
    </xf>
    <xf numFmtId="4" fontId="19" fillId="0" borderId="0" xfId="0" applyNumberFormat="1" applyFont="1">
      <alignment horizontal="left" wrapText="1" indent="1"/>
    </xf>
    <xf numFmtId="3" fontId="14" fillId="6" borderId="0" xfId="10" applyNumberFormat="1" applyFont="1" applyFill="1" applyBorder="1" applyAlignment="1"/>
    <xf numFmtId="0" fontId="28" fillId="6" borderId="4" xfId="0" applyFont="1" applyFill="1" applyBorder="1">
      <alignment horizontal="left" wrapText="1" indent="1"/>
    </xf>
    <xf numFmtId="4" fontId="19" fillId="6" borderId="5" xfId="0" applyNumberFormat="1" applyFont="1" applyFill="1" applyBorder="1" applyAlignment="1">
      <alignment horizontal="right" wrapText="1" indent="1"/>
    </xf>
    <xf numFmtId="41" fontId="0" fillId="0" borderId="0" xfId="0" applyNumberFormat="1" applyAlignment="1">
      <alignment wrapText="1"/>
    </xf>
    <xf numFmtId="0" fontId="8" fillId="5" borderId="0" xfId="12" applyNumberFormat="1" applyFont="1" applyAlignment="1" applyProtection="1">
      <alignment horizontal="center"/>
      <protection locked="0"/>
    </xf>
    <xf numFmtId="0" fontId="8" fillId="5" borderId="0" xfId="1" applyFill="1" applyAlignment="1">
      <alignment horizontal="left" indent="1"/>
    </xf>
    <xf numFmtId="14" fontId="0" fillId="0" borderId="0" xfId="0" applyNumberFormat="1" applyAlignment="1">
      <alignment horizontal="left" indent="1"/>
    </xf>
    <xf numFmtId="4" fontId="0" fillId="0" borderId="0" xfId="0" applyNumberFormat="1" applyFont="1">
      <alignment horizontal="left" wrapText="1" indent="1"/>
    </xf>
    <xf numFmtId="3" fontId="0" fillId="9" borderId="1" xfId="0" applyNumberFormat="1" applyFill="1" applyBorder="1" applyAlignment="1">
      <alignment horizontal="right" wrapText="1"/>
    </xf>
  </cellXfs>
  <cellStyles count="13">
    <cellStyle name="20% - Accent5" xfId="4" builtinId="46"/>
    <cellStyle name="60% - Accent4" xfId="3" builtinId="44" customBuiltin="1"/>
    <cellStyle name="Comma" xfId="10" builtinId="3" customBuiltin="1"/>
    <cellStyle name="Date" xfId="12" xr:uid="{00000000-0005-0000-0000-000003000000}"/>
    <cellStyle name="Heading 1" xfId="5" builtinId="16" customBuiltin="1"/>
    <cellStyle name="Heading 2" xfId="6" builtinId="17" customBuiltin="1"/>
    <cellStyle name="Heading 3" xfId="7" builtinId="18" customBuiltin="1"/>
    <cellStyle name="Heading 4" xfId="2" builtinId="19" customBuiltin="1"/>
    <cellStyle name="Normal" xfId="0" builtinId="0" customBuiltin="1"/>
    <cellStyle name="Percent" xfId="11" builtinId="5" customBuiltin="1"/>
    <cellStyle name="Title" xfId="1" builtinId="15" customBuiltin="1"/>
    <cellStyle name="Total" xfId="8" builtinId="25" customBuiltin="1"/>
    <cellStyle name="Warning Text" xfId="9" builtinId="11" customBuiltin="1"/>
  </cellStyles>
  <dxfs count="42">
    <dxf>
      <numFmt numFmtId="3" formatCode="#,##0"/>
      <fill>
        <patternFill patternType="solid">
          <fgColor theme="4"/>
          <bgColor theme="5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3" formatCode="#,##0"/>
      <fill>
        <patternFill patternType="solid">
          <fgColor theme="4"/>
          <bgColor theme="5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3" formatCode="#,##0"/>
      <fill>
        <patternFill patternType="solid">
          <fgColor theme="4"/>
          <bgColor theme="5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minor"/>
      </font>
      <numFmt numFmtId="3" formatCode="#,##0"/>
      <fill>
        <patternFill patternType="solid">
          <fgColor theme="4"/>
          <bgColor theme="5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minor"/>
      </font>
      <fill>
        <patternFill patternType="solid">
          <fgColor theme="4"/>
          <bgColor theme="5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33" formatCode="_(* #,##0_);_(* \(#,##0\);_(* &quot;-&quot;_);_(@_)"/>
      <alignment horizontal="right" vertical="bottom" textRotation="0" wrapText="0" indent="0" justifyLastLine="0" shrinkToFit="0" readingOrder="0"/>
    </dxf>
    <dxf>
      <numFmt numFmtId="33" formatCode="_(* #,##0_);_(* \(#,##0\);_(* &quot;-&quot;_);_(@_)"/>
      <alignment horizontal="general" vertical="bottom" textRotation="0" wrapText="0" indent="0" justifyLastLine="0" shrinkToFit="0" readingOrder="0"/>
      <protection locked="1" hidden="0"/>
    </dxf>
    <dxf>
      <numFmt numFmtId="33" formatCode="_(* #,##0_);_(* \(#,##0\);_(* &quot;-&quot;_);_(@_)"/>
      <alignment horizontal="right" vertical="bottom" textRotation="0" wrapText="0" indent="0" justifyLastLine="0" shrinkToFit="0" readingOrder="0"/>
    </dxf>
    <dxf>
      <numFmt numFmtId="33" formatCode="_(* #,##0_);_(* \(#,##0\);_(* &quot;-&quot;_);_(@_)"/>
      <alignment horizontal="right" vertical="bottom" textRotation="0" wrapText="0" indent="0" justifyLastLine="0" shrinkToFit="0" readingOrder="0"/>
    </dxf>
    <dxf>
      <numFmt numFmtId="33" formatCode="_(* #,##0_);_(* \(#,##0\);_(* &quot;-&quot;_);_(@_)"/>
      <alignment horizontal="general" vertical="bottom" textRotation="0" wrapText="0" indent="0" justifyLastLine="0" shrinkToFit="0" readingOrder="0"/>
      <protection locked="1" hidden="0"/>
    </dxf>
    <dxf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minor"/>
      </font>
    </dxf>
    <dxf>
      <numFmt numFmtId="8" formatCode="#,##0.00_);[Red]\(#,##0.00\)"/>
      <alignment horizontal="general" vertical="bottom" textRotation="0" wrapText="0" indent="0" justifyLastLine="0" shrinkToFit="0" readingOrder="0"/>
      <protection locked="1" hidden="0"/>
    </dxf>
    <dxf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alignment horizontal="general" vertical="bottom" textRotation="0" wrapText="0" indent="0" justifyLastLine="0" shrinkToFit="0" readingOrder="0"/>
      <protection locked="1" hidden="0"/>
    </dxf>
    <dxf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minor"/>
      </font>
      <numFmt numFmtId="8" formatCode="#,##0.00_);[Red]\(#,##0.00\)"/>
      <fill>
        <patternFill patternType="solid">
          <fgColor theme="4"/>
          <bgColor theme="5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protection locked="1" hidden="0"/>
    </dxf>
    <dxf>
      <alignment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fill>
        <patternFill>
          <bgColor theme="5" tint="0.79998168889431442"/>
        </patternFill>
      </fill>
    </dxf>
    <dxf>
      <font>
        <b val="0"/>
        <i val="0"/>
        <color theme="1"/>
      </font>
      <fill>
        <patternFill patternType="solid">
          <fgColor theme="4"/>
          <bgColor theme="5" tint="0.79998168889431442"/>
        </patternFill>
      </fill>
      <border>
        <top style="thin">
          <color theme="0"/>
        </top>
      </border>
    </dxf>
    <dxf>
      <font>
        <color theme="3"/>
      </font>
      <fill>
        <patternFill patternType="solid">
          <fgColor theme="4"/>
          <bgColor theme="7" tint="0.39994506668294322"/>
        </patternFill>
      </fill>
      <border>
        <bottom style="thin">
          <color theme="0"/>
        </bottom>
      </border>
    </dxf>
    <dxf>
      <font>
        <b val="0"/>
        <i val="0"/>
        <color theme="1"/>
      </font>
      <fill>
        <patternFill patternType="solid">
          <fgColor auto="1"/>
          <bgColor theme="6" tint="0.7999511703848384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Monthly Budget" defaultPivotStyle="PivotStyleLight16">
    <tableStyle name="Monthly Budget" pivot="0" count="4" xr9:uid="{00000000-0011-0000-FFFF-FFFF00000000}">
      <tableStyleElement type="wholeTable" dxfId="41"/>
      <tableStyleElement type="headerRow" dxfId="40"/>
      <tableStyleElement type="totalRow" dxfId="39"/>
      <tableStyleElement type="lastColumn" dxfId="3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10/relationships/person" Target="persons/perso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 sz="1500" b="0">
                <a:solidFill>
                  <a:schemeClr val="tx2">
                    <a:lumMod val="75000"/>
                  </a:schemeClr>
                </a:solidFill>
              </a:rPr>
              <a:t>BUDGET OVERVIEW</a:t>
            </a:r>
          </a:p>
        </c:rich>
      </c:tx>
      <c:layout>
        <c:manualLayout>
          <c:xMode val="edge"/>
          <c:yMode val="edge"/>
          <c:x val="1.2136514266859885E-3"/>
          <c:y val="1.21405657626130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3027452146839"/>
          <c:y val="0.18950617283950616"/>
          <c:w val="0.87064658450005394"/>
          <c:h val="0.726949790998347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Summary!$B$5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Summary!$C$4:$D$4</c:f>
              <c:strCache>
                <c:ptCount val="2"/>
                <c:pt idx="0">
                  <c:v>ESTIMATED 2025</c:v>
                </c:pt>
                <c:pt idx="1">
                  <c:v>ACTUAL 2024</c:v>
                </c:pt>
              </c:strCache>
            </c:strRef>
          </c:cat>
          <c:val>
            <c:numRef>
              <c:f>Summary!$C$5:$D$5</c:f>
              <c:numCache>
                <c:formatCode>_(* #,##0_);_(* \(#,##0\);_(* "-"_);_(@_)</c:formatCode>
                <c:ptCount val="2"/>
                <c:pt idx="0">
                  <c:v>34100</c:v>
                </c:pt>
                <c:pt idx="1">
                  <c:v>26930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5-4A55-9ED8-2FD455C5FA84}"/>
            </c:ext>
          </c:extLst>
        </c:ser>
        <c:ser>
          <c:idx val="1"/>
          <c:order val="1"/>
          <c:tx>
            <c:strRef>
              <c:f>Summary!$B$6</c:f>
              <c:strCache>
                <c:ptCount val="1"/>
                <c:pt idx="0">
                  <c:v>Expenses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Summary!$C$4:$D$4</c:f>
              <c:strCache>
                <c:ptCount val="2"/>
                <c:pt idx="0">
                  <c:v>ESTIMATED 2025</c:v>
                </c:pt>
                <c:pt idx="1">
                  <c:v>ACTUAL 2024</c:v>
                </c:pt>
              </c:strCache>
            </c:strRef>
          </c:cat>
          <c:val>
            <c:numRef>
              <c:f>Summary!$C$6:$D$6</c:f>
              <c:numCache>
                <c:formatCode>_(* #,##0_);_(* \(#,##0\);_(* "-"_);_(@_)</c:formatCode>
                <c:ptCount val="2"/>
                <c:pt idx="0">
                  <c:v>17611</c:v>
                </c:pt>
                <c:pt idx="1">
                  <c:v>15483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5-4A55-9ED8-2FD455C5F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42567104"/>
        <c:axId val="742571024"/>
      </c:barChart>
      <c:catAx>
        <c:axId val="742567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  <a:alpha val="25000"/>
              </a:schemeClr>
            </a:solidFill>
          </a:ln>
        </c:spPr>
        <c:txPr>
          <a:bodyPr/>
          <a:lstStyle/>
          <a:p>
            <a:pPr>
              <a:defRPr sz="1100">
                <a:solidFill>
                  <a:schemeClr val="tx1"/>
                </a:solidFill>
              </a:defRPr>
            </a:pPr>
            <a:endParaRPr lang="en-US"/>
          </a:p>
        </c:txPr>
        <c:crossAx val="742571024"/>
        <c:crosses val="autoZero"/>
        <c:auto val="1"/>
        <c:lblAlgn val="ctr"/>
        <c:lblOffset val="100"/>
        <c:noMultiLvlLbl val="0"/>
      </c:catAx>
      <c:valAx>
        <c:axId val="74257102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  <a:alpha val="25000"/>
                </a:schemeClr>
              </a:solidFill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noFill/>
          </a:ln>
        </c:spPr>
        <c:txPr>
          <a:bodyPr/>
          <a:lstStyle/>
          <a:p>
            <a:pPr>
              <a:defRPr sz="1100">
                <a:solidFill>
                  <a:schemeClr val="tx1"/>
                </a:solidFill>
              </a:defRPr>
            </a:pPr>
            <a:endParaRPr lang="en-US"/>
          </a:p>
        </c:txPr>
        <c:crossAx val="7425671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5.4584778809454041E-3"/>
          <c:y val="7.7102167784582482E-2"/>
          <c:w val="0.20989941933420478"/>
          <c:h val="6.1405072993619622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81642</xdr:colOff>
      <xdr:row>9</xdr:row>
      <xdr:rowOff>34291</xdr:rowOff>
    </xdr:from>
    <xdr:to>
      <xdr:col>5</xdr:col>
      <xdr:colOff>99060</xdr:colOff>
      <xdr:row>9</xdr:row>
      <xdr:rowOff>4149091</xdr:rowOff>
    </xdr:to>
    <xdr:graphicFrame macro="">
      <xdr:nvGraphicFramePr>
        <xdr:cNvPr id="3" name="BudgetOverview" descr="Bar overview chart showing estimated versus actual income and expens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otals" displayName="Totals" ref="B4:E8" totalsRowCount="1" headerRowDxfId="37" dataDxfId="36" totalsRowDxfId="35">
  <autoFilter ref="B4:E7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BUDGET TOTALS" totalsRowLabel="Surplus"/>
    <tableColumn id="2" xr3:uid="{00000000-0010-0000-0000-000002000000}" name="ESTIMATED 2025" totalsRowFunction="custom" dataDxfId="10" totalsRowDxfId="8" dataCellStyle="Comma">
      <totalsRowFormula>C5-C6-C7</totalsRowFormula>
    </tableColumn>
    <tableColumn id="3" xr3:uid="{00000000-0010-0000-0000-000003000000}" name="ACTUAL 2024" totalsRowFunction="custom" dataDxfId="9" totalsRowDxfId="7" dataCellStyle="Comma">
      <totalsRowFormula>D5-D6-D7</totalsRowFormula>
    </tableColumn>
    <tableColumn id="4" xr3:uid="{00000000-0010-0000-0000-000004000000}" name="DIFFERENCE" totalsRowFunction="custom" dataDxfId="6" totalsRowDxfId="5" dataCellStyle="Comma">
      <calculatedColumnFormula>Totals[[#This Row],[ESTIMATED 2025]]-Totals[[#This Row],[ACTUAL 2024]]</calculatedColumnFormula>
      <totalsRowFormula>Totals[[#Totals],[ESTIMATED 2025]]-D8</totalsRow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Budget Totals, Estimated and Actual Income and Expenses, and Difference is automatically updated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Income" displayName="Income" ref="B4:F9" totalsRowCount="1" headerRowDxfId="34" dataDxfId="33" totalsRowDxfId="32">
  <autoFilter ref="B4:F8" xr:uid="{00000000-0009-0000-0100-000003000000}"/>
  <tableColumns count="5">
    <tableColumn id="1" xr3:uid="{00000000-0010-0000-0200-000001000000}" name="INCOME" totalsRowLabel="Total Income"/>
    <tableColumn id="2" xr3:uid="{00000000-0010-0000-0200-000002000000}" name="ESTIMATED 2025" totalsRowFunction="sum" dataDxfId="18" totalsRowDxfId="14" dataCellStyle="Comma" totalsRowCellStyle="Comma"/>
    <tableColumn id="3" xr3:uid="{00000000-0010-0000-0200-000003000000}" name="ACTUAL 2024" totalsRowFunction="sum" dataDxfId="17" totalsRowDxfId="13" dataCellStyle="Comma" totalsRowCellStyle="Comma"/>
    <tableColumn id="5" xr3:uid="{00000000-0010-0000-0200-000005000000}" name="TOP 5 AMOUNT" dataDxfId="16" totalsRowDxfId="12" dataCellStyle="Comma" totalsRowCellStyle="Comma">
      <calculatedColumnFormula>Income[[#This Row],[ACTUAL 2024]]+(10^-6)*ROW(Income[[#This Row],[ACTUAL 2024]])</calculatedColumnFormula>
    </tableColumn>
    <tableColumn id="4" xr3:uid="{00000000-0010-0000-0200-000004000000}" name="DIFFERENCE" totalsRowFunction="sum" dataDxfId="15" totalsRowDxfId="11" dataCellStyle="Comma" totalsRowCellStyle="Comma">
      <calculatedColumnFormula>Income[[#This Row],[ESTIMATED 2025]]-Income[[#This Row],[ACTUAL 2024]]</calculatedColumn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Enter Monthly Income, Estimated, and Actual values in this table. Difference is automatically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OperatingExpenses" displayName="OperatingExpenses" ref="B4:F27" totalsRowCount="1" headerRowDxfId="31" dataDxfId="30" totalsRowDxfId="29" totalsRowBorderDxfId="28">
  <autoFilter ref="B4:F26" xr:uid="{00000000-0009-0000-0100-000009000000}"/>
  <sortState xmlns:xlrd2="http://schemas.microsoft.com/office/spreadsheetml/2017/richdata2" ref="B13:F31">
    <sortCondition ref="B17:B36"/>
  </sortState>
  <tableColumns count="5">
    <tableColumn id="1" xr3:uid="{00000000-0010-0000-0400-000001000000}" name="OPERATING EXPENSES" totalsRowLabel="Total Operating Expenses" totalsRowDxfId="4"/>
    <tableColumn id="2" xr3:uid="{00000000-0010-0000-0400-000002000000}" name="ESTIMATED 2025" totalsRowFunction="sum" dataDxfId="27" totalsRowDxfId="3" dataCellStyle="Comma"/>
    <tableColumn id="3" xr3:uid="{00000000-0010-0000-0400-000003000000}" name="ACTUAL 2024" totalsRowFunction="custom" dataDxfId="26" totalsRowDxfId="2" dataCellStyle="Comma">
      <totalsRowFormula>SUM(OperatingExpenses[ACTUAL 2024])</totalsRowFormula>
    </tableColumn>
    <tableColumn id="5" xr3:uid="{00000000-0010-0000-0400-000005000000}" name="TOP 5 AMOUNT" dataDxfId="25" totalsRowDxfId="1" dataCellStyle="Comma">
      <calculatedColumnFormula>OperatingExpenses[[#This Row],[ACTUAL 2024]]+(10^-6)*ROW(OperatingExpenses[[#This Row],[ACTUAL 2024]])</calculatedColumnFormula>
    </tableColumn>
    <tableColumn id="4" xr3:uid="{00000000-0010-0000-0400-000004000000}" name="DIFFERENCE" totalsRowFunction="sum" dataDxfId="24" totalsRowDxfId="0" dataCellStyle="Comma">
      <calculatedColumnFormula>OperatingExpenses[[#This Row],[ESTIMATED 2025]]-OperatingExpenses[[#This Row],[ACTUAL 2024]]</calculatedColumn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heme/theme1.xml><?xml version="1.0" encoding="utf-8"?>
<a:theme xmlns:a="http://schemas.openxmlformats.org/drawingml/2006/main" name="Thatch">
  <a:themeElements>
    <a:clrScheme name="Small Business Budget">
      <a:dk1>
        <a:sysClr val="windowText" lastClr="000000"/>
      </a:dk1>
      <a:lt1>
        <a:sysClr val="window" lastClr="FFFFFF"/>
      </a:lt1>
      <a:dk2>
        <a:srgbClr val="355A61"/>
      </a:dk2>
      <a:lt2>
        <a:srgbClr val="DBE3E9"/>
      </a:lt2>
      <a:accent1>
        <a:srgbClr val="62799E"/>
      </a:accent1>
      <a:accent2>
        <a:srgbClr val="B3C035"/>
      </a:accent2>
      <a:accent3>
        <a:srgbClr val="908F74"/>
      </a:accent3>
      <a:accent4>
        <a:srgbClr val="7EA67F"/>
      </a:accent4>
      <a:accent5>
        <a:srgbClr val="5588A5"/>
      </a:accent5>
      <a:accent6>
        <a:srgbClr val="559592"/>
      </a:accent6>
      <a:hlink>
        <a:srgbClr val="66AACD"/>
      </a:hlink>
      <a:folHlink>
        <a:srgbClr val="809DB3"/>
      </a:folHlink>
    </a:clrScheme>
    <a:fontScheme name="Small Business Budget">
      <a:majorFont>
        <a:latin typeface="Gill Sans MT"/>
        <a:ea typeface=""/>
        <a:cs typeface=""/>
      </a:majorFont>
      <a:minorFont>
        <a:latin typeface="Gill Sans MT"/>
        <a:ea typeface=""/>
        <a:cs typeface=""/>
      </a:minorFont>
    </a:fontScheme>
    <a:fmtScheme name="Thatch">
      <a:fillStyleLst>
        <a:solidFill>
          <a:schemeClr val="phClr"/>
        </a:solidFill>
        <a:gradFill rotWithShape="1">
          <a:gsLst>
            <a:gs pos="0">
              <a:schemeClr val="phClr">
                <a:tint val="79000"/>
                <a:satMod val="180000"/>
              </a:schemeClr>
            </a:gs>
            <a:gs pos="65000">
              <a:schemeClr val="phClr">
                <a:tint val="52000"/>
                <a:satMod val="250000"/>
              </a:schemeClr>
            </a:gs>
            <a:gs pos="100000">
              <a:schemeClr val="phClr">
                <a:tint val="29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brightRoom" dir="t">
              <a:rot lat="0" lon="0" rev="8700000"/>
            </a:lightRig>
          </a:scene3d>
          <a:sp3d contourW="12700" prstMaterial="dkEdge">
            <a:bevelT w="0" h="0" prst="relaxedInset"/>
            <a:contourClr>
              <a:schemeClr val="phClr">
                <a:shade val="65000"/>
                <a:satMod val="15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13200000"/>
            </a:lightRig>
          </a:scene3d>
          <a:sp3d prstMaterial="dkEdge">
            <a:bevelT w="63500" h="508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hade val="95000"/>
                <a:satMod val="200000"/>
              </a:schemeClr>
            </a:gs>
            <a:gs pos="53000">
              <a:schemeClr val="phClr">
                <a:shade val="60000"/>
                <a:satMod val="220000"/>
              </a:schemeClr>
            </a:gs>
            <a:gs pos="100000">
              <a:schemeClr val="phClr">
                <a:shade val="45000"/>
                <a:satMod val="22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3000"/>
                <a:shade val="97000"/>
                <a:satMod val="230000"/>
              </a:schemeClr>
            </a:gs>
            <a:gs pos="100000">
              <a:schemeClr val="phClr">
                <a:shade val="35000"/>
                <a:satMod val="250000"/>
              </a:schemeClr>
            </a:gs>
          </a:gsLst>
          <a:path path="circle">
            <a:fillToRect l="15000" t="50000" r="85000" b="6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autoPageBreaks="0" fitToPage="1"/>
  </sheetPr>
  <dimension ref="A1:F19"/>
  <sheetViews>
    <sheetView showGridLines="0" tabSelected="1" zoomScaleNormal="100" workbookViewId="0">
      <selection activeCell="I6" sqref="I6"/>
    </sheetView>
  </sheetViews>
  <sheetFormatPr defaultColWidth="9" defaultRowHeight="16.5" customHeight="1" x14ac:dyDescent="0.5"/>
  <cols>
    <col min="1" max="1" width="4.109375" style="7" customWidth="1"/>
    <col min="2" max="2" width="29.21875" style="7" customWidth="1"/>
    <col min="3" max="5" width="19" style="7" customWidth="1"/>
    <col min="6" max="6" width="4.109375" style="7" customWidth="1"/>
    <col min="7" max="7" width="4.109375" customWidth="1"/>
  </cols>
  <sheetData>
    <row r="1" spans="1:6" ht="31.5" customHeight="1" x14ac:dyDescent="0.6">
      <c r="A1" s="4"/>
      <c r="B1" s="3" t="s">
        <v>15</v>
      </c>
      <c r="C1"/>
      <c r="D1"/>
      <c r="E1"/>
      <c r="F1"/>
    </row>
    <row r="2" spans="1:6" ht="42" customHeight="1" x14ac:dyDescent="1.2">
      <c r="A2" s="4"/>
      <c r="B2" s="123" t="s">
        <v>16</v>
      </c>
      <c r="C2" s="123"/>
      <c r="D2" s="123"/>
      <c r="E2" s="122">
        <v>2025</v>
      </c>
      <c r="F2" s="122"/>
    </row>
    <row r="3" spans="1:6" ht="15" customHeight="1" x14ac:dyDescent="0.5"/>
    <row r="4" spans="1:6" s="6" customFormat="1" ht="21.75" customHeight="1" x14ac:dyDescent="0.5">
      <c r="A4" s="5"/>
      <c r="B4" s="20" t="s">
        <v>10</v>
      </c>
      <c r="C4" s="21" t="s">
        <v>147</v>
      </c>
      <c r="D4" s="21" t="s">
        <v>146</v>
      </c>
      <c r="E4" s="21" t="s">
        <v>6</v>
      </c>
      <c r="F4" s="5"/>
    </row>
    <row r="5" spans="1:6" ht="18" x14ac:dyDescent="0.5">
      <c r="B5" t="s">
        <v>4</v>
      </c>
      <c r="C5" s="98">
        <f>Income[[#Totals],[ESTIMATED 2025]]</f>
        <v>34100</v>
      </c>
      <c r="D5" s="98">
        <f>Income[[#Totals],[ACTUAL 2024]]</f>
        <v>26930</v>
      </c>
      <c r="E5" s="79">
        <f>Totals[[#This Row],[ESTIMATED 2025]]-Totals[[#This Row],[ACTUAL 2024]]</f>
        <v>7170</v>
      </c>
    </row>
    <row r="6" spans="1:6" ht="18" x14ac:dyDescent="0.5">
      <c r="B6" t="s">
        <v>5</v>
      </c>
      <c r="C6" s="99">
        <f>Expenses!C28</f>
        <v>17611</v>
      </c>
      <c r="D6" s="98">
        <f>OperatingExpenses[[#Totals],[ACTUAL 2024]]</f>
        <v>15483</v>
      </c>
      <c r="E6" s="79">
        <f>Totals[[#This Row],[ESTIMATED 2025]]-Totals[[#This Row],[ACTUAL 2024]]</f>
        <v>2128</v>
      </c>
    </row>
    <row r="7" spans="1:6" ht="18" x14ac:dyDescent="0.5">
      <c r="B7" s="114" t="s">
        <v>47</v>
      </c>
      <c r="C7" s="115">
        <f>Expenses!C29</f>
        <v>13888.12</v>
      </c>
      <c r="D7" s="121">
        <f>'Reserve Sch.'!D6</f>
        <v>13101.6</v>
      </c>
      <c r="E7" s="79">
        <f>Totals[[#This Row],[ESTIMATED 2025]]-Totals[[#This Row],[ACTUAL 2024]]</f>
        <v>786.52000000000044</v>
      </c>
    </row>
    <row r="8" spans="1:6" ht="18" x14ac:dyDescent="0.5">
      <c r="B8" t="s">
        <v>163</v>
      </c>
      <c r="C8" s="113">
        <f>C5-C6-C7</f>
        <v>2600.8799999999992</v>
      </c>
      <c r="D8" s="113">
        <f>D5-D6-D7</f>
        <v>-1654.6000000000004</v>
      </c>
      <c r="E8" s="113">
        <f>Totals[[#Totals],[ESTIMATED 2025]]-D8</f>
        <v>4255.4799999999996</v>
      </c>
    </row>
    <row r="10" spans="1:6" ht="335.4" customHeight="1" x14ac:dyDescent="0.5">
      <c r="A10"/>
      <c r="B10" s="24"/>
      <c r="C10" s="23"/>
      <c r="D10" s="23"/>
      <c r="E10" s="23"/>
      <c r="F10"/>
    </row>
    <row r="11" spans="1:6" ht="16.5" customHeight="1" x14ac:dyDescent="0.5">
      <c r="B11" s="8"/>
      <c r="C11" s="9"/>
      <c r="D11" s="9"/>
      <c r="E11" s="9"/>
    </row>
    <row r="12" spans="1:6" ht="21.75" customHeight="1" x14ac:dyDescent="0.5">
      <c r="B12" s="47"/>
      <c r="C12" s="48"/>
      <c r="D12" s="48"/>
      <c r="E12" s="48"/>
    </row>
    <row r="13" spans="1:6" ht="18" x14ac:dyDescent="0.5">
      <c r="C13" s="49"/>
      <c r="D13" s="50"/>
      <c r="E13" s="49"/>
    </row>
    <row r="14" spans="1:6" ht="18" x14ac:dyDescent="0.5">
      <c r="C14" s="49"/>
      <c r="D14" s="50"/>
      <c r="E14" s="49"/>
    </row>
    <row r="15" spans="1:6" ht="18" x14ac:dyDescent="0.5">
      <c r="B15" s="64"/>
      <c r="D15" s="50"/>
      <c r="E15" s="49"/>
    </row>
    <row r="16" spans="1:6" ht="18" x14ac:dyDescent="0.5">
      <c r="C16" s="65"/>
      <c r="D16" s="50"/>
      <c r="E16" s="49"/>
    </row>
    <row r="17" spans="3:5" ht="18" x14ac:dyDescent="0.5">
      <c r="C17" s="65"/>
      <c r="D17" s="50"/>
      <c r="E17" s="49"/>
    </row>
    <row r="18" spans="3:5" ht="18" x14ac:dyDescent="0.5">
      <c r="C18" s="66"/>
      <c r="D18" s="52"/>
      <c r="E18" s="51"/>
    </row>
    <row r="19" spans="3:5" ht="16.5" customHeight="1" x14ac:dyDescent="0.5">
      <c r="C19" s="49"/>
    </row>
  </sheetData>
  <sheetProtection insertColumns="0" insertRows="0" deleteColumns="0" deleteRows="0" selectLockedCells="1" autoFilter="0"/>
  <mergeCells count="2">
    <mergeCell ref="E2:F2"/>
    <mergeCell ref="B2:D2"/>
  </mergeCells>
  <conditionalFormatting sqref="C5:D6 C7 C8:E8 C11:E14 C16:E66">
    <cfRule type="cellIs" dxfId="23" priority="2" operator="lessThan">
      <formula>0</formula>
    </cfRule>
  </conditionalFormatting>
  <conditionalFormatting sqref="D13:E18">
    <cfRule type="cellIs" dxfId="22" priority="1" operator="lessThan">
      <formula>0</formula>
    </cfRule>
  </conditionalFormatting>
  <dataValidations count="21">
    <dataValidation type="custom" allowBlank="1" showInputMessage="1" showErrorMessage="1" errorTitle="ALERT" error="This cell is automatically populated and should not be overwitten. Overwriting this cell would break calculations in this worksheet." sqref="D14 D16:D17 C5 D5" xr:uid="{4E126011-8707-4DF0-944D-63EEFCA10021}">
      <formula1>LEN(C5)=""</formula1>
    </dataValidation>
    <dataValidation type="custom" allowBlank="1" showInputMessage="1" showErrorMessage="1" errorTitle="ALERT" error="This cell is automatically populated and should not be overwitten. Overwriting this cell would break calculations in this worksheet. " sqref="E15:E17" xr:uid="{19238785-9426-4621-AA6D-ABFED8F04BBE}">
      <formula1>LEN(#REF!)=""</formula1>
    </dataValidation>
    <dataValidation type="custom" allowBlank="1" showInputMessage="1" showErrorMessage="1" errorTitle="ALERT" error="This cell is automatically populated and should not be overwitten. Overwriting this cell would break calculations in this worksheet. " sqref="E13" xr:uid="{CFD36BDE-42F9-4F62-A994-257A81D2CAB7}">
      <formula1>LEN(E13:E18)=""</formula1>
    </dataValidation>
    <dataValidation type="custom" allowBlank="1" showInputMessage="1" showErrorMessage="1" errorTitle="ALERT" error="This cell is automatically populated and should not be overwitten. Overwriting this cell would break calculations in this worksheet." sqref="D15" xr:uid="{7703B31C-EFC4-4DBD-9F65-47B28648B520}">
      <formula1>LEN(D14:D18)=""</formula1>
    </dataValidation>
    <dataValidation type="custom" allowBlank="1" showInputMessage="1" showErrorMessage="1" errorTitle="ALERT" error="This cell is automatically populated and should not be overwitten. Overwriting this cell would break calculations in this worksheet. " sqref="E14" xr:uid="{EE557DAB-4D10-4408-979B-5B0390707177}">
      <formula1>LEN(E14:E18)=""</formula1>
    </dataValidation>
    <dataValidation allowBlank="1" showInputMessage="1" showErrorMessage="1" prompt="Create a Monthly Business Budget in this workbook. Overview is in this worksheet. Enter Income details in Monthly Income, Personnel, and Operating Expenses in respective worksheets" sqref="A1" xr:uid="{640DFD69-A795-4446-9ADC-438EBE5F31AE}"/>
    <dataValidation allowBlank="1" showInputMessage="1" showErrorMessage="1" prompt="Enter Company Name in this cell" sqref="B1" xr:uid="{4313D6F8-773A-400F-9976-9FB3AEBA212E}"/>
    <dataValidation allowBlank="1" showInputMessage="1" showErrorMessage="1" prompt="Enter Date in this cell. Budget overview chart is in cell B9" sqref="E2:F2" xr:uid="{729B2884-BA5C-40A7-99BA-903A3B1D646C}"/>
    <dataValidation allowBlank="1" showInputMessage="1" showErrorMessage="1" prompt="Budget Totals for Income &amp; Expenses, both estimated &amp; actual, are automatically calculated from amounts entered in other worksheets. Balance &amp; Difference are automatically adjusted" sqref="B4" xr:uid="{2D92EBC3-D9E1-41CD-8E73-ECA51FD20747}"/>
    <dataValidation allowBlank="1" showInputMessage="1" showErrorMessage="1" prompt="Estimated totals are automatically calculated in this column under this heading" sqref="C4" xr:uid="{AE725FC5-69DE-4A0D-B5F7-FD890131073A}"/>
    <dataValidation allowBlank="1" showInputMessage="1" showErrorMessage="1" prompt="Actual totals are automatically calculated in this column under this heading" sqref="D4" xr:uid="{0B2F1594-8F24-4B1C-B5C1-C57EB2F65EDF}"/>
    <dataValidation allowBlank="1" showInputMessage="1" showErrorMessage="1" prompt="Difference of Estimated and Actual Totals is automatically calculated in this column under this heading" sqref="E4" xr:uid="{E1752D80-35EB-4ADF-9CC9-184CCB8805F6}"/>
    <dataValidation allowBlank="1" showInputMessage="1" showErrorMessage="1" prompt="Top 5 Operating Expenses are automatically updated in table below" sqref="B11" xr:uid="{DF2C3503-952D-4BF1-ADF1-0B171E1C18F8}"/>
    <dataValidation allowBlank="1" showInputMessage="1" showErrorMessage="1" prompt="Top 5 Expense items are automatically updated in this column under this heading" sqref="B12" xr:uid="{CF53B198-C943-4E60-B0A9-0AF6ABE4DF02}"/>
    <dataValidation allowBlank="1" showInputMessage="1" showErrorMessage="1" prompt="Amount is automatically updated in this column under this heading" sqref="C12" xr:uid="{13706FAC-19B5-47F5-83F8-C3196D2D48BA}"/>
    <dataValidation allowBlank="1" showInputMessage="1" showErrorMessage="1" prompt="Percent of Expenses is automatically calculated in this column under this heading" sqref="D12" xr:uid="{3E1D0ADA-F086-44F7-8DF1-F2FBD15E6112}"/>
    <dataValidation allowBlank="1" showInputMessage="1" showErrorMessage="1" prompt="15 percent Reduction amount is automatically calculated in this column under this heading" sqref="E12" xr:uid="{12D1141E-8C67-4A9B-B986-07DA693EA799}"/>
    <dataValidation allowBlank="1" showInputMessage="1" showErrorMessage="1" prompt="Title of this worksheet is in this cell. Enter Date in cell at right. Budget Totals are automatically calculated in Totals table starting in cell B4" sqref="B2:D2" xr:uid="{D2E05A1F-0DB0-4C21-9545-D3C6648736BA}"/>
    <dataValidation type="custom" allowBlank="1" showInputMessage="1" showErrorMessage="1" errorTitle="ALERT" error="This cell is automatically populated and should not be overwitten. Overwriting this cell would break calculations in this worksheet." sqref="C13:D13 C14 C16:C17" xr:uid="{58571904-4C14-48D7-91DF-3CDF652ABE05}">
      <formula1>LEN(C13:C18)=""</formula1>
    </dataValidation>
    <dataValidation type="custom" allowBlank="1" showInputMessage="1" showErrorMessage="1" errorTitle="ALERT" error="This cell is automatically populated and should not be overwitten. Overwriting this cell would break calculations in this worksheet." sqref="C19" xr:uid="{5C679832-4F49-4B36-98E5-6D28C4210A19}">
      <formula1>LEN(C16:C20)=""</formula1>
    </dataValidation>
    <dataValidation allowBlank="1" showInputMessage="1" showErrorMessage="1" errorTitle="ALERT" error="This cell is automatically populated and should not be overwitten. Overwriting this cell would break calculations in this worksheet." sqref="D6" xr:uid="{9E049212-CC7B-409C-B990-31E70DB9F05C}"/>
  </dataValidations>
  <printOptions horizontalCentered="1"/>
  <pageMargins left="0.25" right="0.25" top="0.25" bottom="0.25" header="0" footer="0"/>
  <pageSetup fitToHeight="0" orientation="portrait" r:id="rId1"/>
  <headerFooter differentFirst="1">
    <oddFooter>Page &amp;P of &amp;N</oddFooter>
  </headerFooter>
  <ignoredErrors>
    <ignoredError sqref="C5:D5" listDataValidatio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7" tint="0.39997558519241921"/>
    <pageSetUpPr autoPageBreaks="0" fitToPage="1"/>
  </sheetPr>
  <dimension ref="A1:G9"/>
  <sheetViews>
    <sheetView showGridLines="0" zoomScaleNormal="100" workbookViewId="0">
      <selection activeCell="F2" sqref="F2"/>
    </sheetView>
  </sheetViews>
  <sheetFormatPr defaultColWidth="9" defaultRowHeight="30" customHeight="1" x14ac:dyDescent="0.5"/>
  <cols>
    <col min="1" max="1" width="4.109375" style="13" customWidth="1"/>
    <col min="2" max="2" width="29.21875" style="13" customWidth="1"/>
    <col min="3" max="3" width="19" style="13" customWidth="1"/>
    <col min="4" max="4" width="18.88671875" style="13" customWidth="1"/>
    <col min="5" max="5" width="26" style="13" hidden="1" customWidth="1"/>
    <col min="6" max="6" width="19" style="13" customWidth="1"/>
    <col min="7" max="7" width="4.109375" style="13" customWidth="1"/>
    <col min="8" max="8" width="4.109375" customWidth="1"/>
  </cols>
  <sheetData>
    <row r="1" spans="1:7" ht="31.5" customHeight="1" x14ac:dyDescent="0.6">
      <c r="A1" s="4"/>
      <c r="B1" s="3" t="str">
        <f>COMPANY_NAME</f>
        <v>Marita's Vineyard Estates Homeowners Association</v>
      </c>
      <c r="C1" s="10"/>
      <c r="D1" s="10"/>
      <c r="E1" s="10"/>
      <c r="F1" s="10"/>
      <c r="G1" s="10"/>
    </row>
    <row r="2" spans="1:7" ht="42" customHeight="1" x14ac:dyDescent="1.2">
      <c r="A2" s="4"/>
      <c r="B2" s="11" t="s">
        <v>149</v>
      </c>
      <c r="C2" s="12"/>
      <c r="D2" s="12"/>
      <c r="E2" s="12"/>
      <c r="F2" s="12"/>
      <c r="G2" s="12"/>
    </row>
    <row r="3" spans="1:7" ht="15" customHeight="1" x14ac:dyDescent="0.5">
      <c r="G3" s="14"/>
    </row>
    <row r="4" spans="1:7" s="6" customFormat="1" ht="30" customHeight="1" x14ac:dyDescent="0.5">
      <c r="A4" s="15"/>
      <c r="B4" s="20" t="s">
        <v>7</v>
      </c>
      <c r="C4" s="21" t="s">
        <v>147</v>
      </c>
      <c r="D4" s="21" t="s">
        <v>146</v>
      </c>
      <c r="E4" s="20" t="s">
        <v>8</v>
      </c>
      <c r="F4" s="21" t="s">
        <v>6</v>
      </c>
      <c r="G4" s="16"/>
    </row>
    <row r="5" spans="1:7" ht="30" customHeight="1" x14ac:dyDescent="0.5">
      <c r="B5" t="s">
        <v>17</v>
      </c>
      <c r="C5" s="18">
        <f>Expenses!C32</f>
        <v>31500</v>
      </c>
      <c r="D5" s="18">
        <v>25200</v>
      </c>
      <c r="E5" s="19">
        <f>Income[[#This Row],[ACTUAL 2024]]+(10^-6)*ROW(Income[[#This Row],[ACTUAL 2024]])</f>
        <v>25200.000005000002</v>
      </c>
      <c r="F5" s="22">
        <f>Income[[#This Row],[ESTIMATED 2025]]-Income[[#This Row],[ACTUAL 2024]]</f>
        <v>6300</v>
      </c>
      <c r="G5" s="1"/>
    </row>
    <row r="6" spans="1:7" ht="30" customHeight="1" x14ac:dyDescent="0.5">
      <c r="B6" t="s">
        <v>12</v>
      </c>
      <c r="C6" s="18">
        <f>2200</f>
        <v>2200</v>
      </c>
      <c r="D6" s="18">
        <v>1730</v>
      </c>
      <c r="E6" s="19">
        <f>Income[[#This Row],[ACTUAL 2024]]+(10^-6)*ROW(Income[[#This Row],[ACTUAL 2024]])</f>
        <v>1730.000006</v>
      </c>
      <c r="F6" s="22">
        <f>Income[[#This Row],[ESTIMATED 2025]]-Income[[#This Row],[ACTUAL 2024]]</f>
        <v>470</v>
      </c>
      <c r="G6" s="1"/>
    </row>
    <row r="7" spans="1:7" ht="30" customHeight="1" x14ac:dyDescent="0.5">
      <c r="B7" t="s">
        <v>0</v>
      </c>
      <c r="C7" s="18">
        <v>0</v>
      </c>
      <c r="D7" s="18">
        <v>0</v>
      </c>
      <c r="E7" s="19">
        <f>Income[[#This Row],[ACTUAL 2024]]+(10^-6)*ROW(Income[[#This Row],[ACTUAL 2024]])</f>
        <v>6.9999999999999999E-6</v>
      </c>
      <c r="F7" s="22">
        <f>Income[[#This Row],[ESTIMATED 2025]]-Income[[#This Row],[ACTUAL 2024]]</f>
        <v>0</v>
      </c>
      <c r="G7" s="1"/>
    </row>
    <row r="8" spans="1:7" ht="30" customHeight="1" x14ac:dyDescent="0.5">
      <c r="B8" t="s">
        <v>45</v>
      </c>
      <c r="C8" s="18">
        <v>400</v>
      </c>
      <c r="D8" s="18">
        <v>0</v>
      </c>
      <c r="E8" s="19">
        <f>Income[[#This Row],[ACTUAL 2024]]+(10^-6)*ROW(Income[[#This Row],[ACTUAL 2024]])</f>
        <v>7.9999999999999996E-6</v>
      </c>
      <c r="F8" s="22">
        <f>Income[[#This Row],[ESTIMATED 2025]]-Income[[#This Row],[ACTUAL 2024]]</f>
        <v>400</v>
      </c>
      <c r="G8" s="1"/>
    </row>
    <row r="9" spans="1:7" ht="30" customHeight="1" x14ac:dyDescent="0.5">
      <c r="B9" t="s">
        <v>13</v>
      </c>
      <c r="C9" s="19">
        <f>SUBTOTAL(109,Income[ESTIMATED 2025])</f>
        <v>34100</v>
      </c>
      <c r="D9" s="19">
        <f>SUBTOTAL(109,Income[ACTUAL 2024])</f>
        <v>26930</v>
      </c>
      <c r="E9" s="19"/>
      <c r="F9" s="19">
        <f>SUBTOTAL(109,Income[DIFFERENCE])</f>
        <v>7170</v>
      </c>
      <c r="G9" s="2"/>
    </row>
  </sheetData>
  <sheetProtection insertColumns="0" insertRows="0" deleteColumns="0" deleteRows="0" selectLockedCells="1" autoFilter="0"/>
  <dataConsolidate/>
  <conditionalFormatting sqref="F9">
    <cfRule type="cellIs" dxfId="21" priority="3" operator="lessThan">
      <formula>0</formula>
    </cfRule>
  </conditionalFormatting>
  <dataValidations count="9">
    <dataValidation type="custom" allowBlank="1" showInputMessage="1" showErrorMessage="1" errorTitle="ALERT" error="This cell is automatically populated and should not be overwitten. Overwriting this cell would break calculations in this worksheet." sqref="G5:G8" xr:uid="{00000000-0002-0000-0100-000000000000}">
      <formula1>LEN(G5)=""</formula1>
    </dataValidation>
    <dataValidation allowBlank="1" showInputMessage="1" showErrorMessage="1" errorTitle="ALERT" error="This cell is automatically populated and should not be overwitten. Overwriting this cell would break calculations in this worksheet." sqref="F5:F8" xr:uid="{00000000-0002-0000-0100-000001000000}"/>
    <dataValidation allowBlank="1" showInputMessage="1" showErrorMessage="1" prompt="Enter Monthly Income in this worksheet" sqref="A1" xr:uid="{00000000-0002-0000-0100-000002000000}"/>
    <dataValidation allowBlank="1" showInputMessage="1" showErrorMessage="1" prompt="Company Name is automatically updated in this cell" sqref="B1" xr:uid="{00000000-0002-0000-0100-000003000000}"/>
    <dataValidation allowBlank="1" showInputMessage="1" showErrorMessage="1" prompt="Title is automatically updated in this cell. Enter Monthly Income details in table below" sqref="B2" xr:uid="{00000000-0002-0000-0100-000004000000}"/>
    <dataValidation allowBlank="1" showInputMessage="1" showErrorMessage="1" prompt="Enter Income details in this column under this heading. Use heading filters to find specific entries" sqref="B4" xr:uid="{00000000-0002-0000-0100-000005000000}"/>
    <dataValidation allowBlank="1" showInputMessage="1" showErrorMessage="1" prompt="Enter Estimated amount in this column under this heading" sqref="C4" xr:uid="{00000000-0002-0000-0100-000006000000}"/>
    <dataValidation allowBlank="1" showInputMessage="1" showErrorMessage="1" prompt="Enter Actual amount in this column under this heading" sqref="D4" xr:uid="{00000000-0002-0000-0100-000007000000}"/>
    <dataValidation allowBlank="1" showInputMessage="1" showErrorMessage="1" prompt="Difference of Estimated and Actual Income is automatically calculated in this column under this heading" sqref="F4" xr:uid="{00000000-0002-0000-0100-000008000000}"/>
  </dataValidations>
  <printOptions horizontalCentered="1"/>
  <pageMargins left="0.25" right="0.25" top="0.25" bottom="0.25" header="0" footer="0"/>
  <pageSetup fitToHeight="0" orientation="portrait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9B1F0385-725B-457A-9CC0-2AD50E12D26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G5:G8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7" tint="0.39997558519241921"/>
    <pageSetUpPr autoPageBreaks="0" fitToPage="1"/>
  </sheetPr>
  <dimension ref="A1:G54"/>
  <sheetViews>
    <sheetView showGridLines="0" zoomScaleNormal="100" workbookViewId="0">
      <selection activeCell="D2" sqref="D2"/>
    </sheetView>
  </sheetViews>
  <sheetFormatPr defaultColWidth="9" defaultRowHeight="30" customHeight="1" x14ac:dyDescent="0.5"/>
  <cols>
    <col min="1" max="1" width="4.109375" style="13" customWidth="1"/>
    <col min="2" max="2" width="29.21875" style="13" customWidth="1"/>
    <col min="3" max="3" width="19" style="13" customWidth="1"/>
    <col min="4" max="4" width="18.88671875" style="13" customWidth="1"/>
    <col min="5" max="5" width="21.88671875" style="13" hidden="1" customWidth="1"/>
    <col min="6" max="6" width="19" style="13" customWidth="1"/>
    <col min="7" max="7" width="4.109375" style="13" customWidth="1"/>
    <col min="8" max="8" width="4.109375" customWidth="1"/>
  </cols>
  <sheetData>
    <row r="1" spans="1:7" ht="31.5" customHeight="1" x14ac:dyDescent="0.6">
      <c r="A1" s="4"/>
      <c r="B1" s="3" t="str">
        <f>COMPANY_NAME</f>
        <v>Marita's Vineyard Estates Homeowners Association</v>
      </c>
      <c r="C1" s="10"/>
      <c r="D1" s="10"/>
      <c r="E1" s="10"/>
      <c r="F1" s="10"/>
      <c r="G1" s="10"/>
    </row>
    <row r="2" spans="1:7" ht="42" customHeight="1" x14ac:dyDescent="0.95">
      <c r="A2" s="4"/>
      <c r="B2" s="103" t="s">
        <v>150</v>
      </c>
      <c r="C2" s="12"/>
      <c r="D2" s="104"/>
      <c r="E2" s="12"/>
      <c r="F2" s="53" cm="1">
        <f t="array" ref="F2:G2">Summary!E2:F2</f>
        <v>2025</v>
      </c>
      <c r="G2" s="12">
        <v>0</v>
      </c>
    </row>
    <row r="3" spans="1:7" ht="15" customHeight="1" x14ac:dyDescent="0.5">
      <c r="G3" s="14"/>
    </row>
    <row r="4" spans="1:7" ht="30" customHeight="1" x14ac:dyDescent="0.5">
      <c r="B4" s="20" t="s">
        <v>9</v>
      </c>
      <c r="C4" s="21" t="s">
        <v>147</v>
      </c>
      <c r="D4" s="21" t="s">
        <v>146</v>
      </c>
      <c r="E4" s="20" t="s">
        <v>8</v>
      </c>
      <c r="F4" s="21" t="s">
        <v>6</v>
      </c>
      <c r="G4" s="17"/>
    </row>
    <row r="5" spans="1:7" ht="30" customHeight="1" x14ac:dyDescent="0.5">
      <c r="B5" s="13" t="s">
        <v>55</v>
      </c>
      <c r="C5" s="38">
        <v>0</v>
      </c>
      <c r="D5" s="38"/>
      <c r="E5" s="19">
        <f>OperatingExpenses[[#This Row],[ACTUAL 2024]]+(10^-6)*ROW(OperatingExpenses[[#This Row],[ACTUAL 2024]])</f>
        <v>4.9999999999999996E-6</v>
      </c>
      <c r="F5" s="22">
        <f>OperatingExpenses[[#This Row],[ESTIMATED 2025]]-OperatingExpenses[[#This Row],[ACTUAL 2024]]</f>
        <v>0</v>
      </c>
      <c r="G5" s="1"/>
    </row>
    <row r="6" spans="1:7" ht="30" customHeight="1" x14ac:dyDescent="0.5">
      <c r="B6" s="13" t="s">
        <v>23</v>
      </c>
      <c r="C6" s="38">
        <v>0</v>
      </c>
      <c r="D6" s="38"/>
      <c r="E6" s="19">
        <f>OperatingExpenses[[#This Row],[ACTUAL 2024]]+(10^-6)*ROW(OperatingExpenses[[#This Row],[ACTUAL 2024]])</f>
        <v>6.0000000000000002E-6</v>
      </c>
      <c r="F6" s="22">
        <f>OperatingExpenses[[#This Row],[ESTIMATED 2025]]-OperatingExpenses[[#This Row],[ACTUAL 2024]]</f>
        <v>0</v>
      </c>
      <c r="G6" s="1"/>
    </row>
    <row r="7" spans="1:7" ht="30" customHeight="1" x14ac:dyDescent="0.5">
      <c r="B7" s="13" t="s">
        <v>148</v>
      </c>
      <c r="C7" s="38">
        <v>1250</v>
      </c>
      <c r="D7" s="38"/>
      <c r="E7" s="19">
        <f>OperatingExpenses[[#This Row],[ACTUAL 2024]]+(10^-6)*ROW(OperatingExpenses[[#This Row],[ACTUAL 2024]])</f>
        <v>6.9999999999999999E-6</v>
      </c>
      <c r="F7" s="22">
        <f>OperatingExpenses[[#This Row],[ESTIMATED 2025]]-OperatingExpenses[[#This Row],[ACTUAL 2024]]</f>
        <v>1250</v>
      </c>
      <c r="G7" s="1"/>
    </row>
    <row r="8" spans="1:7" ht="30" customHeight="1" x14ac:dyDescent="0.5">
      <c r="B8" s="13" t="s">
        <v>24</v>
      </c>
      <c r="C8" s="38">
        <v>9600</v>
      </c>
      <c r="D8" s="110">
        <v>9513</v>
      </c>
      <c r="E8" s="19">
        <f>OperatingExpenses[[#This Row],[ACTUAL 2024]]+(10^-6)*ROW(OperatingExpenses[[#This Row],[ACTUAL 2024]])</f>
        <v>9513.0000080000009</v>
      </c>
      <c r="F8" s="22">
        <f>OperatingExpenses[[#This Row],[ESTIMATED 2025]]-OperatingExpenses[[#This Row],[ACTUAL 2024]]</f>
        <v>87</v>
      </c>
      <c r="G8" s="1"/>
    </row>
    <row r="9" spans="1:7" ht="30" customHeight="1" x14ac:dyDescent="0.5">
      <c r="B9" s="13" t="s">
        <v>25</v>
      </c>
      <c r="C9" s="38">
        <v>0</v>
      </c>
      <c r="D9" s="38"/>
      <c r="E9" s="19">
        <f>OperatingExpenses[[#This Row],[ACTUAL 2024]]+(10^-6)*ROW(OperatingExpenses[[#This Row],[ACTUAL 2024]])</f>
        <v>9.0000000000000002E-6</v>
      </c>
      <c r="F9" s="22">
        <f>OperatingExpenses[[#This Row],[ESTIMATED 2025]]-OperatingExpenses[[#This Row],[ACTUAL 2024]]</f>
        <v>0</v>
      </c>
      <c r="G9" s="1"/>
    </row>
    <row r="10" spans="1:7" ht="30" customHeight="1" x14ac:dyDescent="0.5">
      <c r="B10" s="13" t="s">
        <v>27</v>
      </c>
      <c r="C10" s="38">
        <v>0</v>
      </c>
      <c r="D10" s="38"/>
      <c r="E10" s="19">
        <f>OperatingExpenses[[#This Row],[ACTUAL 2024]]+(10^-6)*ROW(OperatingExpenses[[#This Row],[ACTUAL 2024]])</f>
        <v>9.9999999999999991E-6</v>
      </c>
      <c r="F10" s="22">
        <f>OperatingExpenses[[#This Row],[ESTIMATED 2025]]-OperatingExpenses[[#This Row],[ACTUAL 2024]]</f>
        <v>0</v>
      </c>
      <c r="G10" s="1"/>
    </row>
    <row r="11" spans="1:7" ht="30" customHeight="1" x14ac:dyDescent="0.5">
      <c r="B11" s="25" t="s">
        <v>28</v>
      </c>
      <c r="C11" s="38">
        <v>550</v>
      </c>
      <c r="D11" s="110">
        <v>521</v>
      </c>
      <c r="E11" s="19">
        <f>OperatingExpenses[[#This Row],[ACTUAL 2024]]+(10^-6)*ROW(OperatingExpenses[[#This Row],[ACTUAL 2024]])</f>
        <v>521.00001099999997</v>
      </c>
      <c r="F11" s="22">
        <f>OperatingExpenses[[#This Row],[ESTIMATED 2025]]-OperatingExpenses[[#This Row],[ACTUAL 2024]]</f>
        <v>29</v>
      </c>
      <c r="G11" s="1"/>
    </row>
    <row r="12" spans="1:7" ht="30" customHeight="1" x14ac:dyDescent="0.5">
      <c r="C12" s="38"/>
      <c r="D12" s="38"/>
      <c r="E12" s="19">
        <f>OperatingExpenses[[#This Row],[ACTUAL 2024]]+(10^-6)*ROW(OperatingExpenses[[#This Row],[ACTUAL 2024]])</f>
        <v>1.2E-5</v>
      </c>
      <c r="F12" s="22">
        <f>OperatingExpenses[[#This Row],[ESTIMATED 2025]]-OperatingExpenses[[#This Row],[ACTUAL 2024]]</f>
        <v>0</v>
      </c>
      <c r="G12" s="1"/>
    </row>
    <row r="13" spans="1:7" ht="30" customHeight="1" x14ac:dyDescent="0.5">
      <c r="B13" t="s">
        <v>18</v>
      </c>
      <c r="C13" s="39">
        <v>0</v>
      </c>
      <c r="D13" s="40"/>
      <c r="E13" s="19">
        <f>OperatingExpenses[[#This Row],[ACTUAL 2024]]+(10^-6)*ROW(OperatingExpenses[[#This Row],[ACTUAL 2024]])</f>
        <v>1.2999999999999999E-5</v>
      </c>
      <c r="F13" s="22">
        <f>OperatingExpenses[[#This Row],[ESTIMATED 2025]]-OperatingExpenses[[#This Row],[ACTUAL 2024]]</f>
        <v>0</v>
      </c>
      <c r="G13" s="1"/>
    </row>
    <row r="14" spans="1:7" ht="30" customHeight="1" x14ac:dyDescent="0.5">
      <c r="B14" t="s">
        <v>19</v>
      </c>
      <c r="C14" s="39">
        <v>0</v>
      </c>
      <c r="D14" s="40"/>
      <c r="E14" s="19">
        <f>OperatingExpenses[[#This Row],[ACTUAL 2024]]+(10^-6)*ROW(OperatingExpenses[[#This Row],[ACTUAL 2024]])</f>
        <v>1.4E-5</v>
      </c>
      <c r="F14" s="22">
        <f>OperatingExpenses[[#This Row],[ESTIMATED 2025]]-OperatingExpenses[[#This Row],[ACTUAL 2024]]</f>
        <v>0</v>
      </c>
      <c r="G14" s="1"/>
    </row>
    <row r="15" spans="1:7" ht="30" customHeight="1" x14ac:dyDescent="0.5">
      <c r="B15" t="s">
        <v>20</v>
      </c>
      <c r="C15" s="39">
        <v>350</v>
      </c>
      <c r="D15" s="111">
        <v>310</v>
      </c>
      <c r="E15" s="19">
        <f>OperatingExpenses[[#This Row],[ACTUAL 2024]]+(10^-6)*ROW(OperatingExpenses[[#This Row],[ACTUAL 2024]])</f>
        <v>310.00001500000002</v>
      </c>
      <c r="F15" s="22">
        <f>OperatingExpenses[[#This Row],[ESTIMATED 2025]]-OperatingExpenses[[#This Row],[ACTUAL 2024]]</f>
        <v>40</v>
      </c>
      <c r="G15" s="1"/>
    </row>
    <row r="16" spans="1:7" ht="30" customHeight="1" x14ac:dyDescent="0.5">
      <c r="B16" t="s">
        <v>1</v>
      </c>
      <c r="C16" s="39">
        <v>4400</v>
      </c>
      <c r="D16" s="111">
        <v>4183</v>
      </c>
      <c r="E16" s="19">
        <f>OperatingExpenses[[#This Row],[ACTUAL 2024]]+(10^-6)*ROW(OperatingExpenses[[#This Row],[ACTUAL 2024]])</f>
        <v>4183.000016</v>
      </c>
      <c r="F16" s="22">
        <f>OperatingExpenses[[#This Row],[ESTIMATED 2025]]-OperatingExpenses[[#This Row],[ACTUAL 2024]]</f>
        <v>217</v>
      </c>
      <c r="G16" s="1"/>
    </row>
    <row r="17" spans="2:7" ht="30" customHeight="1" x14ac:dyDescent="0.5">
      <c r="B17" t="s">
        <v>11</v>
      </c>
      <c r="C17" s="39">
        <v>0</v>
      </c>
      <c r="D17" s="40"/>
      <c r="E17" s="19">
        <f>OperatingExpenses[[#This Row],[ACTUAL 2024]]+(10^-6)*ROW(OperatingExpenses[[#This Row],[ACTUAL 2024]])</f>
        <v>1.7E-5</v>
      </c>
      <c r="F17" s="22">
        <f>OperatingExpenses[[#This Row],[ESTIMATED 2025]]-OperatingExpenses[[#This Row],[ACTUAL 2024]]</f>
        <v>0</v>
      </c>
      <c r="G17" s="1"/>
    </row>
    <row r="18" spans="2:7" ht="30" customHeight="1" x14ac:dyDescent="0.5">
      <c r="B18" t="s">
        <v>2</v>
      </c>
      <c r="C18" s="39">
        <v>0</v>
      </c>
      <c r="D18" s="40"/>
      <c r="E18" s="19">
        <f>OperatingExpenses[[#This Row],[ACTUAL 2024]]+(10^-6)*ROW(OperatingExpenses[[#This Row],[ACTUAL 2024]])</f>
        <v>1.8E-5</v>
      </c>
      <c r="F18" s="22">
        <f>OperatingExpenses[[#This Row],[ESTIMATED 2025]]-OperatingExpenses[[#This Row],[ACTUAL 2024]]</f>
        <v>0</v>
      </c>
      <c r="G18" s="1"/>
    </row>
    <row r="19" spans="2:7" ht="30" customHeight="1" x14ac:dyDescent="0.5">
      <c r="B19" t="s">
        <v>3</v>
      </c>
      <c r="C19" s="39">
        <v>0</v>
      </c>
      <c r="D19" s="40"/>
      <c r="E19" s="19">
        <f>OperatingExpenses[[#This Row],[ACTUAL 2024]]+(10^-6)*ROW(OperatingExpenses[[#This Row],[ACTUAL 2024]])</f>
        <v>1.8999999999999998E-5</v>
      </c>
      <c r="F19" s="22">
        <f>OperatingExpenses[[#This Row],[ESTIMATED 2025]]-OperatingExpenses[[#This Row],[ACTUAL 2024]]</f>
        <v>0</v>
      </c>
      <c r="G19" s="1"/>
    </row>
    <row r="20" spans="2:7" ht="30" customHeight="1" x14ac:dyDescent="0.5">
      <c r="B20" t="s">
        <v>26</v>
      </c>
      <c r="C20" s="39">
        <v>216</v>
      </c>
      <c r="D20" s="111">
        <v>216</v>
      </c>
      <c r="E20" s="19">
        <f>OperatingExpenses[[#This Row],[ACTUAL 2024]]+(10^-6)*ROW(OperatingExpenses[[#This Row],[ACTUAL 2024]])</f>
        <v>216.00002000000001</v>
      </c>
      <c r="F20" s="22">
        <f>OperatingExpenses[[#This Row],[ESTIMATED 2025]]-OperatingExpenses[[#This Row],[ACTUAL 2024]]</f>
        <v>0</v>
      </c>
      <c r="G20" s="1"/>
    </row>
    <row r="21" spans="2:7" ht="30" customHeight="1" x14ac:dyDescent="0.5">
      <c r="B21" t="s">
        <v>22</v>
      </c>
      <c r="C21" s="39">
        <v>20</v>
      </c>
      <c r="D21" s="40"/>
      <c r="E21" s="19">
        <f>OperatingExpenses[[#This Row],[ACTUAL 2024]]+(10^-6)*ROW(OperatingExpenses[[#This Row],[ACTUAL 2024]])</f>
        <v>2.0999999999999999E-5</v>
      </c>
      <c r="F21" s="22">
        <f>OperatingExpenses[[#This Row],[ESTIMATED 2025]]-OperatingExpenses[[#This Row],[ACTUAL 2024]]</f>
        <v>20</v>
      </c>
      <c r="G21" s="1"/>
    </row>
    <row r="22" spans="2:7" ht="30" customHeight="1" x14ac:dyDescent="0.5">
      <c r="B22" t="s">
        <v>21</v>
      </c>
      <c r="C22" s="39">
        <v>0</v>
      </c>
      <c r="D22" s="40"/>
      <c r="E22" s="19">
        <f>OperatingExpenses[[#This Row],[ACTUAL 2024]]+(10^-6)*ROW(OperatingExpenses[[#This Row],[ACTUAL 2024]])</f>
        <v>2.1999999999999999E-5</v>
      </c>
      <c r="F22" s="22">
        <f>OperatingExpenses[[#This Row],[ESTIMATED 2025]]-OperatingExpenses[[#This Row],[ACTUAL 2024]]</f>
        <v>0</v>
      </c>
      <c r="G22" s="1"/>
    </row>
    <row r="23" spans="2:7" ht="30" customHeight="1" x14ac:dyDescent="0.5">
      <c r="B23" t="s">
        <v>106</v>
      </c>
      <c r="C23" s="39">
        <v>740</v>
      </c>
      <c r="D23" s="111">
        <v>740</v>
      </c>
      <c r="E23" s="19">
        <f>OperatingExpenses[[#This Row],[ACTUAL 2024]]+(10^-6)*ROW(OperatingExpenses[[#This Row],[ACTUAL 2024]])</f>
        <v>740.00002300000006</v>
      </c>
      <c r="F23" s="22">
        <f>OperatingExpenses[[#This Row],[ESTIMATED 2025]]-OperatingExpenses[[#This Row],[ACTUAL 2024]]</f>
        <v>0</v>
      </c>
      <c r="G23" s="1"/>
    </row>
    <row r="24" spans="2:7" ht="30" customHeight="1" x14ac:dyDescent="0.5">
      <c r="B24" s="26" t="s">
        <v>29</v>
      </c>
      <c r="C24" s="41">
        <v>485</v>
      </c>
      <c r="D24" s="42"/>
      <c r="E24" s="19">
        <f>OperatingExpenses[[#This Row],[ACTUAL 2024]]+(10^-6)*ROW(OperatingExpenses[[#This Row],[ACTUAL 2024]])</f>
        <v>2.4000000000000001E-5</v>
      </c>
      <c r="F24" s="22">
        <f>OperatingExpenses[[#This Row],[ESTIMATED 2025]]-OperatingExpenses[[#This Row],[ACTUAL 2024]]</f>
        <v>485</v>
      </c>
      <c r="G24" s="1"/>
    </row>
    <row r="25" spans="2:7" ht="30" customHeight="1" x14ac:dyDescent="0.5">
      <c r="B25" s="26" t="s">
        <v>56</v>
      </c>
      <c r="C25" s="43">
        <v>0</v>
      </c>
      <c r="D25" s="43"/>
      <c r="E25" s="19">
        <f>OperatingExpenses[[#This Row],[ACTUAL 2024]]+(10^-6)*ROW(OperatingExpenses[[#This Row],[ACTUAL 2024]])</f>
        <v>2.4999999999999998E-5</v>
      </c>
      <c r="F25" s="22">
        <f>OperatingExpenses[[#This Row],[ESTIMATED 2025]]-OperatingExpenses[[#This Row],[ACTUAL 2024]]</f>
        <v>0</v>
      </c>
      <c r="G25" s="2"/>
    </row>
    <row r="26" spans="2:7" ht="30" customHeight="1" x14ac:dyDescent="0.5">
      <c r="B26" s="87"/>
      <c r="C26" s="54"/>
      <c r="D26" s="46"/>
      <c r="E26" s="33">
        <f>OperatingExpenses[[#This Row],[ACTUAL 2024]]+(10^-6)*ROW(OperatingExpenses[[#This Row],[ACTUAL 2024]])</f>
        <v>2.5999999999999998E-5</v>
      </c>
      <c r="F26" s="34">
        <f>OperatingExpenses[[#This Row],[ESTIMATED 2025]]-OperatingExpenses[[#This Row],[ACTUAL 2024]]</f>
        <v>0</v>
      </c>
    </row>
    <row r="27" spans="2:7" ht="30" customHeight="1" x14ac:dyDescent="0.5">
      <c r="B27" s="84" t="s">
        <v>14</v>
      </c>
      <c r="C27" s="85">
        <f>SUBTOTAL(109,OperatingExpenses[ESTIMATED 2025])</f>
        <v>17611</v>
      </c>
      <c r="D27" s="126">
        <f>SUM(OperatingExpenses[ACTUAL 2024])</f>
        <v>15483</v>
      </c>
      <c r="E27" s="36"/>
      <c r="F27" s="35">
        <f>SUBTOTAL(109,OperatingExpenses[DIFFERENCE])</f>
        <v>2128</v>
      </c>
    </row>
    <row r="28" spans="2:7" ht="30" customHeight="1" x14ac:dyDescent="0.5">
      <c r="B28" s="60"/>
      <c r="C28" s="61">
        <f>ROUNDUP(OperatingExpenses[[#Totals],[ESTIMATED 2025]]*D28,0)</f>
        <v>17611</v>
      </c>
      <c r="D28" s="83">
        <v>1</v>
      </c>
      <c r="E28" s="62"/>
      <c r="F28" s="88"/>
    </row>
    <row r="29" spans="2:7" ht="30" customHeight="1" x14ac:dyDescent="0.5">
      <c r="B29" s="57" t="s">
        <v>30</v>
      </c>
      <c r="C29" s="58">
        <f>F53</f>
        <v>13888.12</v>
      </c>
      <c r="D29" s="96"/>
      <c r="F29" s="55"/>
    </row>
    <row r="30" spans="2:7" ht="30" customHeight="1" x14ac:dyDescent="0.5">
      <c r="B30" s="29" t="s">
        <v>46</v>
      </c>
      <c r="C30" s="118">
        <f>OperatingExpenses[[#Totals],[ESTIMATED 2025]]*D28+C29</f>
        <v>31499.120000000003</v>
      </c>
      <c r="D30" s="28"/>
      <c r="F30" s="59"/>
    </row>
    <row r="31" spans="2:7" ht="30" customHeight="1" x14ac:dyDescent="0.5">
      <c r="B31" s="119" t="s">
        <v>43</v>
      </c>
      <c r="C31" s="120">
        <f>ROUNDUP(C30/21,0)</f>
        <v>1500</v>
      </c>
      <c r="D31" s="86"/>
      <c r="F31" s="56"/>
    </row>
    <row r="32" spans="2:7" ht="30" customHeight="1" x14ac:dyDescent="0.5">
      <c r="B32" s="13" t="s">
        <v>44</v>
      </c>
      <c r="C32" s="28">
        <f>ROUNDUP(C31,0)*21</f>
        <v>31500</v>
      </c>
      <c r="D32" s="28"/>
    </row>
    <row r="33" spans="2:6" ht="30" customHeight="1" x14ac:dyDescent="0.5">
      <c r="C33" s="28"/>
      <c r="D33" s="28"/>
    </row>
    <row r="34" spans="2:6" ht="30" customHeight="1" x14ac:dyDescent="0.5">
      <c r="B34" s="29" t="s">
        <v>31</v>
      </c>
      <c r="C34" s="31" t="s">
        <v>36</v>
      </c>
      <c r="D34" s="29" t="s">
        <v>39</v>
      </c>
      <c r="E34" s="29"/>
      <c r="F34" s="29" t="s">
        <v>40</v>
      </c>
    </row>
    <row r="35" spans="2:6" ht="30" customHeight="1" x14ac:dyDescent="0.5">
      <c r="B35" s="13" t="s">
        <v>37</v>
      </c>
      <c r="C35" s="27">
        <v>6500</v>
      </c>
      <c r="D35" s="13">
        <v>5</v>
      </c>
      <c r="F35" s="27">
        <f>C35/D35</f>
        <v>1300</v>
      </c>
    </row>
    <row r="36" spans="2:6" ht="30" customHeight="1" x14ac:dyDescent="0.5">
      <c r="B36" s="13" t="s">
        <v>32</v>
      </c>
      <c r="C36" s="27">
        <v>4000</v>
      </c>
      <c r="D36" s="13">
        <v>10</v>
      </c>
      <c r="F36" s="27">
        <f t="shared" ref="F36:F47" si="0">C36/D36</f>
        <v>400</v>
      </c>
    </row>
    <row r="37" spans="2:6" ht="30" customHeight="1" x14ac:dyDescent="0.5">
      <c r="B37" s="13" t="s">
        <v>48</v>
      </c>
      <c r="C37" s="27">
        <v>3370</v>
      </c>
      <c r="D37" s="13">
        <v>20</v>
      </c>
      <c r="F37" s="27">
        <f t="shared" si="0"/>
        <v>168.5</v>
      </c>
    </row>
    <row r="38" spans="2:6" ht="30" customHeight="1" x14ac:dyDescent="0.5">
      <c r="B38" s="13" t="s">
        <v>34</v>
      </c>
      <c r="C38" s="27">
        <v>9000</v>
      </c>
      <c r="D38" s="13">
        <v>15</v>
      </c>
      <c r="F38" s="27">
        <f t="shared" si="0"/>
        <v>600</v>
      </c>
    </row>
    <row r="39" spans="2:6" ht="30" customHeight="1" x14ac:dyDescent="0.5">
      <c r="B39" s="13" t="s">
        <v>33</v>
      </c>
      <c r="C39" s="27">
        <v>4000</v>
      </c>
      <c r="D39" s="13">
        <v>15</v>
      </c>
      <c r="F39" s="27">
        <f t="shared" si="0"/>
        <v>266.66666666666669</v>
      </c>
    </row>
    <row r="40" spans="2:6" ht="30" customHeight="1" x14ac:dyDescent="0.5">
      <c r="B40" s="13" t="s">
        <v>52</v>
      </c>
      <c r="C40" s="27">
        <v>15000</v>
      </c>
      <c r="D40" s="13">
        <v>30</v>
      </c>
      <c r="F40" s="27">
        <f t="shared" si="0"/>
        <v>500</v>
      </c>
    </row>
    <row r="41" spans="2:6" ht="30" customHeight="1" x14ac:dyDescent="0.5">
      <c r="B41" s="13" t="s">
        <v>54</v>
      </c>
      <c r="C41" s="27">
        <v>1800</v>
      </c>
      <c r="D41" s="13">
        <v>1</v>
      </c>
      <c r="F41" s="27">
        <f t="shared" si="0"/>
        <v>1800</v>
      </c>
    </row>
    <row r="42" spans="2:6" ht="30" customHeight="1" x14ac:dyDescent="0.5">
      <c r="B42" s="13" t="s">
        <v>38</v>
      </c>
      <c r="C42" s="27">
        <v>5000</v>
      </c>
      <c r="D42" s="13">
        <v>9</v>
      </c>
      <c r="F42" s="27">
        <f t="shared" si="0"/>
        <v>555.55555555555554</v>
      </c>
    </row>
    <row r="43" spans="2:6" ht="30" customHeight="1" x14ac:dyDescent="0.5">
      <c r="B43" s="13" t="s">
        <v>53</v>
      </c>
      <c r="C43" s="27">
        <v>16000</v>
      </c>
      <c r="D43" s="13">
        <v>39</v>
      </c>
      <c r="F43" s="27">
        <f t="shared" si="0"/>
        <v>410.25641025641028</v>
      </c>
    </row>
    <row r="44" spans="2:6" ht="30" customHeight="1" x14ac:dyDescent="0.5">
      <c r="B44" s="13" t="s">
        <v>35</v>
      </c>
      <c r="C44" s="27">
        <v>5000</v>
      </c>
      <c r="D44" s="13">
        <v>20</v>
      </c>
      <c r="F44" s="27">
        <f t="shared" si="0"/>
        <v>250</v>
      </c>
    </row>
    <row r="45" spans="2:6" ht="30" customHeight="1" x14ac:dyDescent="0.5">
      <c r="B45" s="13" t="s">
        <v>49</v>
      </c>
      <c r="C45" s="27">
        <v>4000</v>
      </c>
      <c r="D45" s="13">
        <v>10</v>
      </c>
      <c r="F45" s="27">
        <f t="shared" si="0"/>
        <v>400</v>
      </c>
    </row>
    <row r="46" spans="2:6" ht="30" customHeight="1" x14ac:dyDescent="0.5">
      <c r="B46" s="13" t="s">
        <v>51</v>
      </c>
      <c r="C46" s="27">
        <v>8500</v>
      </c>
      <c r="D46" s="13">
        <v>4</v>
      </c>
      <c r="F46" s="27">
        <f t="shared" si="0"/>
        <v>2125</v>
      </c>
    </row>
    <row r="47" spans="2:6" ht="30" customHeight="1" x14ac:dyDescent="0.5">
      <c r="B47" s="13" t="s">
        <v>50</v>
      </c>
      <c r="C47" s="27">
        <v>93500</v>
      </c>
      <c r="D47" s="13">
        <v>29</v>
      </c>
      <c r="F47" s="27">
        <f t="shared" si="0"/>
        <v>3224.1379310344828</v>
      </c>
    </row>
    <row r="48" spans="2:6" ht="30" customHeight="1" x14ac:dyDescent="0.5">
      <c r="B48" s="13" t="s">
        <v>0</v>
      </c>
      <c r="C48" s="27"/>
      <c r="F48" s="27"/>
    </row>
    <row r="49" spans="2:6" ht="30" customHeight="1" x14ac:dyDescent="0.5">
      <c r="B49" s="13" t="s">
        <v>0</v>
      </c>
      <c r="C49" s="27"/>
      <c r="F49" s="27"/>
    </row>
    <row r="50" spans="2:6" ht="30" customHeight="1" x14ac:dyDescent="0.5">
      <c r="B50" s="13" t="s">
        <v>0</v>
      </c>
      <c r="C50" s="27"/>
      <c r="F50" s="27"/>
    </row>
    <row r="51" spans="2:6" ht="30" customHeight="1" x14ac:dyDescent="0.5">
      <c r="B51" s="29" t="s">
        <v>41</v>
      </c>
      <c r="C51" s="63">
        <f>SUM(C35:C47)</f>
        <v>175670</v>
      </c>
      <c r="D51" s="30">
        <f>C51/F51</f>
        <v>14.639024468656613</v>
      </c>
      <c r="F51" s="63">
        <f>SUM(F35:F47)</f>
        <v>12000.116563513115</v>
      </c>
    </row>
    <row r="52" spans="2:6" ht="30" customHeight="1" x14ac:dyDescent="0.5">
      <c r="B52" s="29"/>
      <c r="C52" s="63"/>
      <c r="D52" s="30"/>
      <c r="F52" s="63"/>
    </row>
    <row r="53" spans="2:6" ht="30" customHeight="1" x14ac:dyDescent="0.5">
      <c r="B53" s="13" t="s">
        <v>42</v>
      </c>
      <c r="C53" s="44">
        <v>13102</v>
      </c>
      <c r="D53" s="45">
        <v>0.06</v>
      </c>
      <c r="F53" s="37">
        <f>C53*D53+C53</f>
        <v>13888.12</v>
      </c>
    </row>
    <row r="54" spans="2:6" ht="30" customHeight="1" x14ac:dyDescent="0.5">
      <c r="D54" s="32"/>
    </row>
  </sheetData>
  <sheetProtection insertColumns="0" insertRows="0" deleteColumns="0" deleteRows="0" selectLockedCells="1" autoFilter="0"/>
  <dataConsolidate/>
  <conditionalFormatting sqref="F27:F28">
    <cfRule type="cellIs" dxfId="20" priority="2" operator="lessThan">
      <formula>0</formula>
    </cfRule>
  </conditionalFormatting>
  <conditionalFormatting sqref="F31">
    <cfRule type="cellIs" dxfId="19" priority="1" operator="lessThan">
      <formula>0</formula>
    </cfRule>
  </conditionalFormatting>
  <dataValidations disablePrompts="1" count="9">
    <dataValidation type="custom" allowBlank="1" showInputMessage="1" showErrorMessage="1" errorTitle="ALERT" error="This cell is automatically populated and should not be overwitten. Overwriting this cell would break calculations in this worksheet." sqref="G5:G24" xr:uid="{00000000-0002-0000-0300-000000000000}">
      <formula1>LEN(G5)=""</formula1>
    </dataValidation>
    <dataValidation allowBlank="1" showInputMessage="1" showErrorMessage="1" errorTitle="ALERT" error="This cell is automatically populated and should not be overwitten. Overwriting this cell would break calculations in this worksheet." sqref="F31 F5:F26" xr:uid="{00000000-0002-0000-0300-000001000000}"/>
    <dataValidation allowBlank="1" showInputMessage="1" showErrorMessage="1" prompt="Enter Monthly Operating Expenses in this worksheet" sqref="A1" xr:uid="{00000000-0002-0000-0300-000002000000}"/>
    <dataValidation allowBlank="1" showInputMessage="1" showErrorMessage="1" prompt="Company Name is automatically updated in this cell" sqref="B1" xr:uid="{00000000-0002-0000-0300-000003000000}"/>
    <dataValidation allowBlank="1" showInputMessage="1" showErrorMessage="1" prompt="Title is automatically updated in this cell. Enter Monthly Operating Expense details in table below" sqref="B2" xr:uid="{00000000-0002-0000-0300-000004000000}"/>
    <dataValidation allowBlank="1" showInputMessage="1" showErrorMessage="1" prompt="Enter Operating Expenses in this column under this heading. Use heading filters to find specific entries" sqref="B4" xr:uid="{00000000-0002-0000-0300-000005000000}"/>
    <dataValidation allowBlank="1" showInputMessage="1" showErrorMessage="1" prompt="Enter Estimated amount in this column under this heading" sqref="C4" xr:uid="{00000000-0002-0000-0300-000006000000}"/>
    <dataValidation allowBlank="1" showInputMessage="1" showErrorMessage="1" prompt="Enter Actual amount in this column under this heading" sqref="D4" xr:uid="{00000000-0002-0000-0300-000007000000}"/>
    <dataValidation allowBlank="1" showInputMessage="1" showErrorMessage="1" prompt="Difference of Estimated and Actual Operating Expenses is automatically calculated in this column under this heading" sqref="F4" xr:uid="{00000000-0002-0000-0300-000008000000}"/>
  </dataValidations>
  <printOptions horizontalCentered="1"/>
  <pageMargins left="0.25" right="0.25" top="0.25" bottom="0.25" header="0" footer="0"/>
  <pageSetup fitToHeight="0" orientation="portrait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E8DFEDF7-DD2B-4BDC-AEAC-141B22E8ECA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G5:G24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0A500-9D2A-45C9-AE67-9FF3DA7F203D}">
  <sheetPr codeName="Sheet4">
    <tabColor theme="7" tint="0.39997558519241921"/>
  </sheetPr>
  <dimension ref="A1:O105"/>
  <sheetViews>
    <sheetView workbookViewId="0">
      <selection activeCell="A14" sqref="A14"/>
    </sheetView>
  </sheetViews>
  <sheetFormatPr defaultRowHeight="18" x14ac:dyDescent="0.5"/>
  <cols>
    <col min="1" max="1" width="12" bestFit="1" customWidth="1"/>
    <col min="2" max="4" width="10.5546875" bestFit="1" customWidth="1"/>
    <col min="6" max="6" width="10.5546875" bestFit="1" customWidth="1"/>
    <col min="8" max="8" width="29.5546875" bestFit="1" customWidth="1"/>
  </cols>
  <sheetData>
    <row r="1" spans="1:15" ht="21.6" x14ac:dyDescent="0.55000000000000004">
      <c r="A1" s="93" t="s">
        <v>113</v>
      </c>
      <c r="D1">
        <v>2025</v>
      </c>
      <c r="I1" s="93"/>
    </row>
    <row r="2" spans="1:15" x14ac:dyDescent="0.5">
      <c r="A2" s="67" t="s">
        <v>114</v>
      </c>
      <c r="B2" s="75" t="s">
        <v>115</v>
      </c>
      <c r="D2" s="75" t="s">
        <v>116</v>
      </c>
      <c r="F2" s="75" t="s">
        <v>117</v>
      </c>
      <c r="H2" s="75" t="s">
        <v>118</v>
      </c>
      <c r="I2" s="75" t="s">
        <v>119</v>
      </c>
      <c r="J2" s="71"/>
      <c r="L2" s="71"/>
      <c r="N2" s="71"/>
    </row>
    <row r="3" spans="1:15" x14ac:dyDescent="0.5">
      <c r="A3" s="105">
        <v>45658</v>
      </c>
      <c r="B3" s="95"/>
      <c r="C3" s="95"/>
      <c r="D3" s="95"/>
      <c r="E3" s="95"/>
      <c r="F3" s="95">
        <v>1008.61</v>
      </c>
      <c r="H3" s="71"/>
      <c r="I3" s="71" t="s">
        <v>124</v>
      </c>
      <c r="J3" s="71"/>
      <c r="L3" s="71"/>
      <c r="M3" s="71"/>
      <c r="N3" s="71"/>
      <c r="O3" s="71"/>
    </row>
    <row r="4" spans="1:15" x14ac:dyDescent="0.5">
      <c r="A4" s="124">
        <v>45674</v>
      </c>
      <c r="B4" s="95"/>
      <c r="C4" s="95"/>
      <c r="D4" s="95">
        <v>23.2</v>
      </c>
      <c r="E4" s="95"/>
      <c r="F4" s="95">
        <f>F3+B4-D4</f>
        <v>985.41</v>
      </c>
      <c r="H4" s="71" t="s">
        <v>120</v>
      </c>
      <c r="I4" s="71" t="s">
        <v>125</v>
      </c>
      <c r="J4" s="71"/>
      <c r="L4" s="71"/>
      <c r="M4" s="71"/>
      <c r="N4" s="71"/>
      <c r="O4" s="71"/>
    </row>
    <row r="5" spans="1:15" x14ac:dyDescent="0.5">
      <c r="A5" s="105">
        <v>45686</v>
      </c>
      <c r="B5" s="95">
        <v>1900</v>
      </c>
      <c r="C5" s="95"/>
      <c r="D5" s="95"/>
      <c r="E5" s="95"/>
      <c r="F5" s="95">
        <f t="shared" ref="F5:F45" si="0">F4+B5-D5</f>
        <v>2885.41</v>
      </c>
      <c r="H5" s="71" t="s">
        <v>151</v>
      </c>
      <c r="I5" s="71" t="s">
        <v>17</v>
      </c>
      <c r="J5" s="71"/>
      <c r="L5" s="71"/>
      <c r="M5" s="71"/>
      <c r="N5" s="71"/>
      <c r="O5" s="71"/>
    </row>
    <row r="6" spans="1:15" x14ac:dyDescent="0.5">
      <c r="A6" s="105">
        <v>45693</v>
      </c>
      <c r="B6" s="95"/>
      <c r="C6" s="95"/>
      <c r="D6" s="95">
        <v>320</v>
      </c>
      <c r="E6" s="95"/>
      <c r="F6" s="95">
        <f t="shared" si="0"/>
        <v>2565.41</v>
      </c>
      <c r="H6" s="71" t="s">
        <v>126</v>
      </c>
      <c r="I6" s="71" t="s">
        <v>152</v>
      </c>
      <c r="J6" s="71"/>
      <c r="L6" s="71"/>
      <c r="M6" s="71"/>
      <c r="N6" s="71"/>
      <c r="O6" s="71"/>
    </row>
    <row r="7" spans="1:15" x14ac:dyDescent="0.5">
      <c r="A7" s="105">
        <v>45698</v>
      </c>
      <c r="B7" s="95">
        <v>1500</v>
      </c>
      <c r="C7" s="95"/>
      <c r="D7" s="95"/>
      <c r="E7" s="95"/>
      <c r="F7" s="95">
        <f t="shared" si="0"/>
        <v>4065.41</v>
      </c>
      <c r="H7" s="71" t="s">
        <v>153</v>
      </c>
      <c r="I7" s="71" t="s">
        <v>17</v>
      </c>
      <c r="J7" s="71"/>
      <c r="L7" s="71"/>
      <c r="M7" s="71"/>
      <c r="N7" s="71"/>
      <c r="O7" s="71"/>
    </row>
    <row r="8" spans="1:15" x14ac:dyDescent="0.5">
      <c r="A8" s="105">
        <v>45699</v>
      </c>
      <c r="B8" s="95">
        <v>18000</v>
      </c>
      <c r="C8" s="95"/>
      <c r="D8" s="95"/>
      <c r="E8" s="95"/>
      <c r="F8" s="95">
        <f t="shared" si="0"/>
        <v>22065.41</v>
      </c>
      <c r="H8" s="71" t="s">
        <v>154</v>
      </c>
      <c r="I8" s="71" t="s">
        <v>17</v>
      </c>
      <c r="J8" s="71"/>
      <c r="L8" s="71"/>
      <c r="M8" s="71"/>
      <c r="N8" s="71"/>
      <c r="O8" s="71"/>
    </row>
    <row r="9" spans="1:15" x14ac:dyDescent="0.5">
      <c r="A9" s="105">
        <v>45699</v>
      </c>
      <c r="B9" s="95"/>
      <c r="C9" s="95"/>
      <c r="D9" s="95">
        <v>13888</v>
      </c>
      <c r="E9" s="95"/>
      <c r="F9" s="95">
        <f t="shared" si="0"/>
        <v>8177.41</v>
      </c>
      <c r="H9" s="71" t="s">
        <v>155</v>
      </c>
      <c r="I9" s="71" t="s">
        <v>156</v>
      </c>
      <c r="J9" s="71"/>
      <c r="L9" s="71"/>
      <c r="M9" s="71"/>
      <c r="N9" s="71"/>
      <c r="O9" s="71"/>
    </row>
    <row r="10" spans="1:15" x14ac:dyDescent="0.5">
      <c r="A10" s="105">
        <v>45699</v>
      </c>
      <c r="B10" s="95"/>
      <c r="C10" s="95"/>
      <c r="D10" s="95">
        <v>10</v>
      </c>
      <c r="E10" s="95"/>
      <c r="F10" s="95">
        <f t="shared" si="0"/>
        <v>8167.41</v>
      </c>
      <c r="H10" s="71" t="s">
        <v>137</v>
      </c>
      <c r="I10" s="71" t="s">
        <v>157</v>
      </c>
      <c r="J10" s="71"/>
      <c r="L10" s="71"/>
      <c r="M10" s="71"/>
      <c r="N10" s="71"/>
      <c r="O10" s="71"/>
    </row>
    <row r="11" spans="1:15" x14ac:dyDescent="0.5">
      <c r="A11" s="105">
        <v>45707</v>
      </c>
      <c r="B11" s="95"/>
      <c r="C11" s="95"/>
      <c r="D11" s="95">
        <v>23.04</v>
      </c>
      <c r="E11" s="95"/>
      <c r="F11" s="95">
        <f t="shared" si="0"/>
        <v>8144.37</v>
      </c>
      <c r="H11" s="71" t="s">
        <v>120</v>
      </c>
      <c r="I11" s="71" t="s">
        <v>125</v>
      </c>
      <c r="J11" s="71"/>
      <c r="L11" s="71"/>
      <c r="M11" s="71"/>
      <c r="N11" s="71"/>
      <c r="O11" s="71"/>
    </row>
    <row r="12" spans="1:15" x14ac:dyDescent="0.5">
      <c r="A12" s="105">
        <v>45708</v>
      </c>
      <c r="B12" s="95"/>
      <c r="C12" s="95"/>
      <c r="D12" s="95">
        <v>47</v>
      </c>
      <c r="E12" s="95"/>
      <c r="F12" s="95">
        <f t="shared" si="0"/>
        <v>8097.37</v>
      </c>
      <c r="H12" s="71" t="s">
        <v>137</v>
      </c>
      <c r="I12" s="71" t="s">
        <v>158</v>
      </c>
      <c r="J12" s="71"/>
      <c r="L12" s="71"/>
      <c r="M12" s="71"/>
      <c r="N12" s="71"/>
      <c r="O12" s="71"/>
    </row>
    <row r="13" spans="1:15" x14ac:dyDescent="0.5">
      <c r="A13" s="105">
        <v>45726</v>
      </c>
      <c r="B13" s="95">
        <v>1500</v>
      </c>
      <c r="C13" s="95"/>
      <c r="D13" s="95"/>
      <c r="E13" s="95"/>
      <c r="F13" s="95">
        <f t="shared" si="0"/>
        <v>9597.369999999999</v>
      </c>
      <c r="H13" s="71" t="s">
        <v>162</v>
      </c>
      <c r="I13" s="71" t="s">
        <v>17</v>
      </c>
      <c r="J13" s="71"/>
      <c r="L13" s="71"/>
      <c r="M13" s="71"/>
      <c r="N13" s="71"/>
      <c r="O13" s="71"/>
    </row>
    <row r="14" spans="1:15" x14ac:dyDescent="0.5">
      <c r="A14" s="105"/>
      <c r="B14" s="95"/>
      <c r="C14" s="95"/>
      <c r="D14" s="95"/>
      <c r="E14" s="95"/>
      <c r="F14" s="95">
        <f t="shared" si="0"/>
        <v>9597.369999999999</v>
      </c>
      <c r="H14" s="71"/>
      <c r="I14" s="71"/>
      <c r="J14" s="71"/>
      <c r="L14" s="71"/>
      <c r="M14" s="71"/>
      <c r="N14" s="71"/>
      <c r="O14" s="71"/>
    </row>
    <row r="15" spans="1:15" x14ac:dyDescent="0.5">
      <c r="A15" s="105"/>
      <c r="B15" s="95"/>
      <c r="C15" s="95"/>
      <c r="D15" s="95"/>
      <c r="E15" s="95"/>
      <c r="F15" s="95">
        <f t="shared" si="0"/>
        <v>9597.369999999999</v>
      </c>
      <c r="H15" s="71"/>
      <c r="I15" s="71"/>
      <c r="J15" s="71"/>
      <c r="L15" s="71"/>
      <c r="M15" s="71"/>
      <c r="N15" s="71"/>
      <c r="O15" s="71"/>
    </row>
    <row r="16" spans="1:15" x14ac:dyDescent="0.5">
      <c r="A16" s="105"/>
      <c r="B16" s="95"/>
      <c r="D16" s="95"/>
      <c r="E16" s="95"/>
      <c r="F16" s="95">
        <f t="shared" si="0"/>
        <v>9597.369999999999</v>
      </c>
      <c r="H16" s="71"/>
      <c r="I16" s="71"/>
      <c r="J16" s="71"/>
      <c r="L16" s="71"/>
      <c r="M16" s="71"/>
      <c r="N16" s="71"/>
      <c r="O16" s="71"/>
    </row>
    <row r="17" spans="1:15" x14ac:dyDescent="0.5">
      <c r="A17" s="105"/>
      <c r="B17" s="95"/>
      <c r="C17" s="95"/>
      <c r="D17" s="95"/>
      <c r="E17" s="95"/>
      <c r="F17" s="95">
        <f t="shared" si="0"/>
        <v>9597.369999999999</v>
      </c>
      <c r="H17" s="71"/>
      <c r="I17" s="71"/>
      <c r="J17" s="71"/>
      <c r="L17" s="71"/>
      <c r="M17" s="71"/>
      <c r="N17" s="71"/>
      <c r="O17" s="71"/>
    </row>
    <row r="18" spans="1:15" x14ac:dyDescent="0.5">
      <c r="A18" s="105"/>
      <c r="B18" s="95"/>
      <c r="C18" s="95"/>
      <c r="D18" s="95"/>
      <c r="E18" s="95"/>
      <c r="F18" s="95">
        <f t="shared" si="0"/>
        <v>9597.369999999999</v>
      </c>
      <c r="H18" s="71"/>
      <c r="I18" s="71"/>
      <c r="J18" s="71"/>
      <c r="L18" s="71"/>
      <c r="M18" s="71"/>
      <c r="N18" s="71"/>
      <c r="O18" s="71"/>
    </row>
    <row r="19" spans="1:15" x14ac:dyDescent="0.5">
      <c r="A19" s="105"/>
      <c r="B19" s="95"/>
      <c r="C19" s="95"/>
      <c r="D19" s="95"/>
      <c r="E19" s="95"/>
      <c r="F19" s="95">
        <f t="shared" si="0"/>
        <v>9597.369999999999</v>
      </c>
      <c r="H19" s="71"/>
      <c r="I19" s="71"/>
      <c r="J19" s="71"/>
      <c r="L19" s="71"/>
      <c r="M19" s="71"/>
      <c r="N19" s="71"/>
      <c r="O19" s="71"/>
    </row>
    <row r="20" spans="1:15" x14ac:dyDescent="0.5">
      <c r="A20" s="105"/>
      <c r="B20" s="95"/>
      <c r="C20" s="95"/>
      <c r="D20" s="95"/>
      <c r="E20" s="95"/>
      <c r="F20" s="95">
        <f t="shared" si="0"/>
        <v>9597.369999999999</v>
      </c>
      <c r="H20" s="71"/>
      <c r="I20" s="71"/>
      <c r="J20" s="71"/>
      <c r="L20" s="71"/>
      <c r="M20" s="71"/>
      <c r="N20" s="71"/>
      <c r="O20" s="71"/>
    </row>
    <row r="21" spans="1:15" x14ac:dyDescent="0.5">
      <c r="A21" s="105"/>
      <c r="B21" s="95"/>
      <c r="C21" s="95"/>
      <c r="D21" s="95"/>
      <c r="E21" s="95"/>
      <c r="F21" s="95">
        <f t="shared" si="0"/>
        <v>9597.369999999999</v>
      </c>
      <c r="H21" s="71"/>
      <c r="I21" s="71"/>
      <c r="J21" s="71"/>
      <c r="L21" s="71"/>
      <c r="M21" s="71"/>
      <c r="N21" s="71"/>
      <c r="O21" s="71"/>
    </row>
    <row r="22" spans="1:15" x14ac:dyDescent="0.5">
      <c r="A22" s="105"/>
      <c r="B22" s="95"/>
      <c r="C22" s="95"/>
      <c r="D22" s="95"/>
      <c r="E22" s="95"/>
      <c r="F22" s="95">
        <f t="shared" si="0"/>
        <v>9597.369999999999</v>
      </c>
      <c r="H22" s="71"/>
      <c r="I22" s="71"/>
      <c r="J22" s="71"/>
      <c r="L22" s="71"/>
      <c r="M22" s="71"/>
      <c r="N22" s="71"/>
      <c r="O22" s="71"/>
    </row>
    <row r="23" spans="1:15" x14ac:dyDescent="0.5">
      <c r="A23" s="105"/>
      <c r="B23" s="95"/>
      <c r="C23" s="95"/>
      <c r="D23" s="95"/>
      <c r="E23" s="95"/>
      <c r="F23" s="95">
        <f t="shared" si="0"/>
        <v>9597.369999999999</v>
      </c>
      <c r="H23" s="71"/>
      <c r="I23" s="71"/>
      <c r="J23" s="71"/>
      <c r="L23" s="71"/>
      <c r="M23" s="71"/>
      <c r="N23" s="71"/>
      <c r="O23" s="71"/>
    </row>
    <row r="24" spans="1:15" x14ac:dyDescent="0.5">
      <c r="A24" s="105"/>
      <c r="B24" s="95"/>
      <c r="C24" s="95"/>
      <c r="D24" s="95"/>
      <c r="E24" s="95"/>
      <c r="F24" s="95">
        <f t="shared" si="0"/>
        <v>9597.369999999999</v>
      </c>
      <c r="H24" s="71"/>
      <c r="I24" s="71"/>
      <c r="J24" s="71"/>
      <c r="L24" s="71"/>
      <c r="M24" s="71"/>
      <c r="N24" s="71"/>
      <c r="O24" s="71"/>
    </row>
    <row r="25" spans="1:15" x14ac:dyDescent="0.5">
      <c r="A25" s="105"/>
      <c r="B25" s="95"/>
      <c r="C25" s="95"/>
      <c r="D25" s="95"/>
      <c r="E25" s="95"/>
      <c r="F25" s="95">
        <f t="shared" si="0"/>
        <v>9597.369999999999</v>
      </c>
      <c r="H25" s="71"/>
      <c r="I25" s="71"/>
      <c r="J25" s="71"/>
      <c r="L25" s="71"/>
      <c r="M25" s="71"/>
      <c r="N25" s="71"/>
      <c r="O25" s="71"/>
    </row>
    <row r="26" spans="1:15" x14ac:dyDescent="0.5">
      <c r="A26" s="105"/>
      <c r="B26" s="95"/>
      <c r="C26" s="95"/>
      <c r="D26" s="95"/>
      <c r="E26" s="95"/>
      <c r="F26" s="95">
        <f t="shared" si="0"/>
        <v>9597.369999999999</v>
      </c>
      <c r="H26" s="71"/>
      <c r="I26" s="71"/>
      <c r="J26" s="71"/>
      <c r="L26" s="71"/>
      <c r="M26" s="71"/>
      <c r="N26" s="71"/>
      <c r="O26" s="71"/>
    </row>
    <row r="27" spans="1:15" x14ac:dyDescent="0.5">
      <c r="A27" s="105"/>
      <c r="B27" s="95"/>
      <c r="C27" s="95"/>
      <c r="D27" s="95"/>
      <c r="E27" s="95"/>
      <c r="F27" s="95">
        <f t="shared" si="0"/>
        <v>9597.369999999999</v>
      </c>
      <c r="H27" s="71"/>
      <c r="I27" s="71"/>
      <c r="J27" s="71"/>
      <c r="L27" s="71"/>
      <c r="M27" s="71"/>
      <c r="N27" s="71"/>
      <c r="O27" s="71"/>
    </row>
    <row r="28" spans="1:15" x14ac:dyDescent="0.5">
      <c r="A28" s="105"/>
      <c r="B28" s="95"/>
      <c r="C28" s="95"/>
      <c r="D28" s="95"/>
      <c r="E28" s="95"/>
      <c r="F28" s="95">
        <f t="shared" si="0"/>
        <v>9597.369999999999</v>
      </c>
      <c r="H28" s="71"/>
      <c r="I28" s="71"/>
      <c r="J28" s="71"/>
      <c r="L28" s="71"/>
      <c r="M28" s="71"/>
      <c r="N28" s="71"/>
      <c r="O28" s="71"/>
    </row>
    <row r="29" spans="1:15" x14ac:dyDescent="0.5">
      <c r="A29" s="105"/>
      <c r="B29" s="95"/>
      <c r="C29" s="95"/>
      <c r="D29" s="95"/>
      <c r="E29" s="95"/>
      <c r="F29" s="95">
        <f t="shared" si="0"/>
        <v>9597.369999999999</v>
      </c>
      <c r="H29" s="71"/>
      <c r="I29" s="71"/>
      <c r="J29" s="71"/>
      <c r="L29" s="71"/>
      <c r="M29" s="71"/>
      <c r="N29" s="71"/>
      <c r="O29" s="71"/>
    </row>
    <row r="30" spans="1:15" x14ac:dyDescent="0.5">
      <c r="A30" s="105"/>
      <c r="B30" s="95"/>
      <c r="C30" s="95"/>
      <c r="D30" s="95"/>
      <c r="E30" s="95"/>
      <c r="F30" s="95">
        <f t="shared" si="0"/>
        <v>9597.369999999999</v>
      </c>
      <c r="H30" s="71"/>
      <c r="I30" s="71"/>
      <c r="J30" s="71"/>
      <c r="L30" s="71"/>
      <c r="M30" s="71"/>
      <c r="N30" s="71"/>
      <c r="O30" s="71"/>
    </row>
    <row r="31" spans="1:15" x14ac:dyDescent="0.5">
      <c r="A31" s="105"/>
      <c r="B31" s="95"/>
      <c r="C31" s="95"/>
      <c r="D31" s="95"/>
      <c r="E31" s="95"/>
      <c r="F31" s="95">
        <f t="shared" si="0"/>
        <v>9597.369999999999</v>
      </c>
      <c r="H31" s="71"/>
      <c r="I31" s="71"/>
      <c r="J31" s="71"/>
      <c r="L31" s="71"/>
      <c r="M31" s="71"/>
      <c r="N31" s="71"/>
      <c r="O31" s="71"/>
    </row>
    <row r="32" spans="1:15" x14ac:dyDescent="0.5">
      <c r="A32" s="105"/>
      <c r="B32" s="95"/>
      <c r="C32" s="95"/>
      <c r="D32" s="95"/>
      <c r="E32" s="95"/>
      <c r="F32" s="95">
        <f t="shared" si="0"/>
        <v>9597.369999999999</v>
      </c>
      <c r="H32" s="71"/>
      <c r="I32" s="71"/>
      <c r="J32" s="71"/>
      <c r="L32" s="71"/>
      <c r="M32" s="71"/>
      <c r="N32" s="71"/>
      <c r="O32" s="71"/>
    </row>
    <row r="33" spans="1:15" x14ac:dyDescent="0.5">
      <c r="A33" s="105"/>
      <c r="B33" s="95"/>
      <c r="C33" s="95"/>
      <c r="D33" s="95"/>
      <c r="E33" s="95"/>
      <c r="F33" s="95">
        <f t="shared" si="0"/>
        <v>9597.369999999999</v>
      </c>
      <c r="H33" s="71"/>
      <c r="I33" s="71"/>
      <c r="J33" s="71"/>
      <c r="L33" s="71"/>
      <c r="M33" s="71"/>
      <c r="N33" s="71"/>
      <c r="O33" s="71"/>
    </row>
    <row r="34" spans="1:15" x14ac:dyDescent="0.5">
      <c r="A34" s="105"/>
      <c r="B34" s="95"/>
      <c r="C34" s="95"/>
      <c r="D34" s="95"/>
      <c r="E34" s="95"/>
      <c r="F34" s="95">
        <f t="shared" si="0"/>
        <v>9597.369999999999</v>
      </c>
      <c r="H34" s="71"/>
      <c r="I34" s="71"/>
      <c r="J34" s="71"/>
      <c r="L34" s="71"/>
      <c r="M34" s="71"/>
      <c r="N34" s="71"/>
      <c r="O34" s="71"/>
    </row>
    <row r="35" spans="1:15" x14ac:dyDescent="0.5">
      <c r="A35" s="105"/>
      <c r="B35" s="95"/>
      <c r="C35" s="95"/>
      <c r="D35" s="95"/>
      <c r="E35" s="95"/>
      <c r="F35" s="95">
        <f t="shared" si="0"/>
        <v>9597.369999999999</v>
      </c>
      <c r="H35" s="71"/>
      <c r="I35" s="71"/>
      <c r="J35" s="71"/>
      <c r="L35" s="71"/>
      <c r="M35" s="71"/>
      <c r="N35" s="71"/>
      <c r="O35" s="71"/>
    </row>
    <row r="36" spans="1:15" x14ac:dyDescent="0.5">
      <c r="A36" s="105"/>
      <c r="B36" s="95"/>
      <c r="C36" s="95"/>
      <c r="D36" s="95"/>
      <c r="E36" s="95"/>
      <c r="F36" s="95">
        <f t="shared" si="0"/>
        <v>9597.369999999999</v>
      </c>
      <c r="H36" s="71"/>
      <c r="I36" s="71"/>
      <c r="J36" s="71"/>
      <c r="L36" s="71"/>
      <c r="M36" s="71"/>
      <c r="N36" s="71"/>
      <c r="O36" s="71"/>
    </row>
    <row r="37" spans="1:15" x14ac:dyDescent="0.5">
      <c r="A37" s="105"/>
      <c r="B37" s="95"/>
      <c r="C37" s="95"/>
      <c r="D37" s="95"/>
      <c r="E37" s="95"/>
      <c r="F37" s="95">
        <f t="shared" si="0"/>
        <v>9597.369999999999</v>
      </c>
      <c r="H37" s="71"/>
      <c r="I37" s="71"/>
      <c r="J37" s="71"/>
      <c r="L37" s="71"/>
      <c r="M37" s="71"/>
      <c r="N37" s="71"/>
      <c r="O37" s="71"/>
    </row>
    <row r="38" spans="1:15" x14ac:dyDescent="0.5">
      <c r="A38" s="105"/>
      <c r="B38" s="95"/>
      <c r="C38" s="95"/>
      <c r="D38" s="95"/>
      <c r="E38" s="95"/>
      <c r="F38" s="95">
        <f t="shared" si="0"/>
        <v>9597.369999999999</v>
      </c>
      <c r="H38" s="71"/>
      <c r="I38" s="71"/>
      <c r="J38" s="71"/>
      <c r="L38" s="71"/>
      <c r="M38" s="71"/>
      <c r="N38" s="71"/>
      <c r="O38" s="71"/>
    </row>
    <row r="39" spans="1:15" x14ac:dyDescent="0.5">
      <c r="A39" s="105"/>
      <c r="B39" s="95"/>
      <c r="C39" s="95"/>
      <c r="D39" s="95"/>
      <c r="E39" s="95"/>
      <c r="F39" s="95">
        <f t="shared" si="0"/>
        <v>9597.369999999999</v>
      </c>
      <c r="H39" s="71"/>
      <c r="I39" s="71"/>
      <c r="J39" s="71"/>
      <c r="L39" s="71"/>
      <c r="M39" s="71"/>
      <c r="N39" s="71"/>
      <c r="O39" s="71"/>
    </row>
    <row r="40" spans="1:15" x14ac:dyDescent="0.5">
      <c r="A40" s="105"/>
      <c r="B40" s="95"/>
      <c r="C40" s="95"/>
      <c r="D40" s="95"/>
      <c r="E40" s="95"/>
      <c r="F40" s="95">
        <f t="shared" si="0"/>
        <v>9597.369999999999</v>
      </c>
      <c r="H40" s="71"/>
      <c r="I40" s="71"/>
      <c r="J40" s="71"/>
      <c r="L40" s="71"/>
      <c r="M40" s="71"/>
      <c r="N40" s="71"/>
      <c r="O40" s="71"/>
    </row>
    <row r="41" spans="1:15" x14ac:dyDescent="0.5">
      <c r="A41" s="105"/>
      <c r="B41" s="95"/>
      <c r="C41" s="95"/>
      <c r="D41" s="95"/>
      <c r="E41" s="117"/>
      <c r="F41" s="95">
        <f t="shared" si="0"/>
        <v>9597.369999999999</v>
      </c>
      <c r="H41" s="71"/>
      <c r="I41" s="71"/>
      <c r="J41" s="71"/>
      <c r="L41" s="71"/>
      <c r="M41" s="71"/>
      <c r="N41" s="71"/>
      <c r="O41" s="71"/>
    </row>
    <row r="42" spans="1:15" x14ac:dyDescent="0.5">
      <c r="A42" s="105"/>
      <c r="B42" s="95"/>
      <c r="C42" s="95"/>
      <c r="D42" s="95"/>
      <c r="E42" s="95"/>
      <c r="F42" s="95">
        <f t="shared" si="0"/>
        <v>9597.369999999999</v>
      </c>
      <c r="H42" s="71"/>
      <c r="I42" s="71"/>
      <c r="J42" s="71"/>
      <c r="L42" s="71"/>
      <c r="M42" s="71"/>
      <c r="N42" s="71"/>
      <c r="O42" s="71"/>
    </row>
    <row r="43" spans="1:15" x14ac:dyDescent="0.5">
      <c r="A43" s="105"/>
      <c r="B43" s="95"/>
      <c r="C43" s="95"/>
      <c r="D43" s="95"/>
      <c r="E43" s="95"/>
      <c r="F43" s="95">
        <f t="shared" si="0"/>
        <v>9597.369999999999</v>
      </c>
      <c r="H43" s="71"/>
      <c r="I43" s="71"/>
      <c r="J43" s="71"/>
      <c r="L43" s="71"/>
      <c r="M43" s="71"/>
      <c r="N43" s="71"/>
      <c r="O43" s="71"/>
    </row>
    <row r="44" spans="1:15" x14ac:dyDescent="0.5">
      <c r="A44" s="105"/>
      <c r="B44" s="95"/>
      <c r="C44" s="95"/>
      <c r="D44" s="95"/>
      <c r="E44" s="95"/>
      <c r="F44" s="95">
        <f t="shared" si="0"/>
        <v>9597.369999999999</v>
      </c>
      <c r="H44" s="71"/>
      <c r="I44" s="71"/>
      <c r="J44" s="71"/>
      <c r="L44" s="71"/>
      <c r="M44" s="71"/>
      <c r="N44" s="71"/>
      <c r="O44" s="71"/>
    </row>
    <row r="45" spans="1:15" x14ac:dyDescent="0.5">
      <c r="A45" s="105"/>
      <c r="B45" s="95"/>
      <c r="C45" s="95"/>
      <c r="D45" s="95"/>
      <c r="E45" s="95"/>
      <c r="F45" s="95">
        <f t="shared" si="0"/>
        <v>9597.369999999999</v>
      </c>
      <c r="H45" s="71"/>
      <c r="I45" s="71"/>
      <c r="J45" s="71"/>
      <c r="L45" s="71"/>
      <c r="M45" s="71"/>
      <c r="N45" s="71"/>
      <c r="O45" s="71"/>
    </row>
    <row r="46" spans="1:15" x14ac:dyDescent="0.5">
      <c r="A46" s="105"/>
      <c r="B46" s="95"/>
      <c r="C46" s="95"/>
      <c r="D46" s="95"/>
      <c r="E46" s="95"/>
      <c r="F46" s="95"/>
      <c r="H46" s="71"/>
      <c r="I46" s="71"/>
      <c r="J46" s="71"/>
      <c r="L46" s="71"/>
      <c r="M46" s="71"/>
      <c r="N46" s="71"/>
      <c r="O46" s="71"/>
    </row>
    <row r="47" spans="1:15" x14ac:dyDescent="0.5">
      <c r="A47" s="105"/>
      <c r="B47" s="95"/>
      <c r="C47" s="95"/>
      <c r="D47" s="95"/>
      <c r="E47" s="95"/>
      <c r="F47" s="95"/>
      <c r="H47" s="71"/>
      <c r="I47" s="71"/>
      <c r="J47" s="71"/>
      <c r="K47" s="71"/>
      <c r="L47" s="71"/>
      <c r="M47" s="71"/>
      <c r="N47" s="71"/>
      <c r="O47" s="71"/>
    </row>
    <row r="48" spans="1:15" x14ac:dyDescent="0.5">
      <c r="A48" s="105"/>
      <c r="B48" s="95"/>
      <c r="C48" s="95"/>
      <c r="D48" s="95"/>
      <c r="E48" s="95"/>
      <c r="F48" s="95"/>
      <c r="H48" s="71"/>
      <c r="I48" s="71"/>
      <c r="J48" s="71"/>
      <c r="K48" s="71"/>
      <c r="L48" s="71"/>
      <c r="M48" s="71"/>
      <c r="N48" s="71"/>
      <c r="O48" s="71"/>
    </row>
    <row r="49" spans="1:15" x14ac:dyDescent="0.5">
      <c r="A49" s="105"/>
      <c r="B49" s="95"/>
      <c r="C49" s="95"/>
      <c r="D49" s="95"/>
      <c r="E49" s="95"/>
      <c r="F49" s="95"/>
      <c r="H49" s="71"/>
      <c r="I49" s="71"/>
      <c r="J49" s="71"/>
      <c r="K49" s="71"/>
      <c r="L49" s="71"/>
      <c r="M49" s="71"/>
      <c r="N49" s="71"/>
      <c r="O49" s="71"/>
    </row>
    <row r="50" spans="1:15" x14ac:dyDescent="0.5">
      <c r="A50" s="105"/>
      <c r="B50" s="95"/>
      <c r="C50" s="95"/>
      <c r="D50" s="95"/>
      <c r="E50" s="95"/>
      <c r="F50" s="95"/>
      <c r="H50" s="71"/>
      <c r="I50" s="71"/>
      <c r="J50" s="71"/>
      <c r="K50" s="71"/>
      <c r="L50" s="71"/>
      <c r="M50" s="71"/>
      <c r="N50" s="71"/>
      <c r="O50" s="71"/>
    </row>
    <row r="51" spans="1:15" x14ac:dyDescent="0.5">
      <c r="A51" s="105"/>
      <c r="B51" s="95"/>
      <c r="C51" s="95"/>
      <c r="D51" s="95"/>
      <c r="E51" s="95"/>
      <c r="F51" s="95"/>
      <c r="H51" s="71"/>
      <c r="I51" s="71"/>
      <c r="J51" s="71"/>
      <c r="K51" s="71"/>
      <c r="L51" s="71"/>
      <c r="M51" s="71"/>
      <c r="N51" s="71"/>
      <c r="O51" s="71"/>
    </row>
    <row r="52" spans="1:15" x14ac:dyDescent="0.5">
      <c r="A52" s="105"/>
      <c r="B52" s="95"/>
      <c r="C52" s="95"/>
      <c r="D52" s="95"/>
      <c r="E52" s="95"/>
      <c r="F52" s="95"/>
      <c r="H52" s="71"/>
      <c r="I52" s="71"/>
      <c r="J52" s="71"/>
      <c r="K52" s="71"/>
      <c r="L52" s="71"/>
      <c r="M52" s="71"/>
      <c r="N52" s="71"/>
      <c r="O52" s="71"/>
    </row>
    <row r="53" spans="1:15" x14ac:dyDescent="0.5">
      <c r="A53" s="105"/>
      <c r="B53" s="95"/>
      <c r="C53" s="95"/>
      <c r="D53" s="95"/>
      <c r="E53" s="95"/>
      <c r="F53" s="95"/>
      <c r="H53" s="71"/>
      <c r="I53" s="71"/>
      <c r="J53" s="71"/>
      <c r="K53" s="71"/>
      <c r="L53" s="71"/>
      <c r="M53" s="71"/>
      <c r="N53" s="71"/>
      <c r="O53" s="71"/>
    </row>
    <row r="54" spans="1:15" x14ac:dyDescent="0.5">
      <c r="A54" s="105"/>
      <c r="B54" s="95"/>
      <c r="C54" s="95"/>
      <c r="D54" s="95"/>
      <c r="E54" s="95"/>
      <c r="F54" s="95"/>
      <c r="H54" s="71"/>
      <c r="I54" s="71"/>
      <c r="J54" s="71"/>
      <c r="K54" s="71"/>
      <c r="L54" s="71"/>
      <c r="M54" s="71"/>
      <c r="N54" s="71"/>
      <c r="O54" s="71"/>
    </row>
    <row r="55" spans="1:15" x14ac:dyDescent="0.5">
      <c r="A55" s="105"/>
      <c r="B55" s="95"/>
      <c r="C55" s="95"/>
      <c r="D55" s="95"/>
      <c r="E55" s="95"/>
      <c r="F55" s="95"/>
      <c r="H55" s="71"/>
      <c r="I55" s="71"/>
      <c r="J55" s="71"/>
      <c r="K55" s="71"/>
      <c r="L55" s="71"/>
      <c r="M55" s="71"/>
      <c r="N55" s="71"/>
      <c r="O55" s="71"/>
    </row>
    <row r="56" spans="1:15" x14ac:dyDescent="0.5">
      <c r="A56" s="105"/>
      <c r="B56" s="95"/>
      <c r="C56" s="95"/>
      <c r="D56" s="95"/>
      <c r="E56" s="95"/>
      <c r="F56" s="95"/>
      <c r="H56" s="71"/>
      <c r="I56" s="71"/>
      <c r="J56" s="71"/>
      <c r="K56" s="71"/>
      <c r="L56" s="71"/>
      <c r="M56" s="71"/>
      <c r="N56" s="71"/>
      <c r="O56" s="71"/>
    </row>
    <row r="57" spans="1:15" x14ac:dyDescent="0.5">
      <c r="A57" s="105"/>
      <c r="B57" s="95"/>
      <c r="C57" s="95"/>
      <c r="D57" s="95"/>
      <c r="E57" s="95"/>
      <c r="F57" s="95"/>
      <c r="H57" s="71"/>
      <c r="I57" s="71"/>
      <c r="J57" s="71"/>
      <c r="K57" s="71"/>
      <c r="L57" s="71"/>
      <c r="M57" s="71"/>
      <c r="N57" s="71"/>
      <c r="O57" s="71"/>
    </row>
    <row r="58" spans="1:15" x14ac:dyDescent="0.5">
      <c r="A58" s="105"/>
      <c r="B58" s="95"/>
      <c r="C58" s="95"/>
      <c r="D58" s="95"/>
      <c r="E58" s="95"/>
      <c r="F58" s="95"/>
      <c r="H58" s="71"/>
      <c r="I58" s="71"/>
      <c r="J58" s="71"/>
      <c r="K58" s="71"/>
      <c r="L58" s="71"/>
      <c r="M58" s="71"/>
      <c r="N58" s="71"/>
      <c r="O58" s="71"/>
    </row>
    <row r="59" spans="1:15" x14ac:dyDescent="0.5">
      <c r="A59" s="105"/>
      <c r="B59" s="95"/>
      <c r="C59" s="95"/>
      <c r="D59" s="95"/>
      <c r="E59" s="95"/>
      <c r="F59" s="95"/>
      <c r="H59" s="71"/>
      <c r="I59" s="71"/>
      <c r="J59" s="71"/>
      <c r="K59" s="71"/>
      <c r="L59" s="71"/>
      <c r="M59" s="71"/>
      <c r="N59" s="71"/>
      <c r="O59" s="71"/>
    </row>
    <row r="60" spans="1:15" x14ac:dyDescent="0.5">
      <c r="A60" s="105"/>
      <c r="B60" s="95"/>
      <c r="C60" s="95"/>
      <c r="D60" s="95"/>
      <c r="E60" s="95"/>
      <c r="F60" s="95"/>
      <c r="H60" s="71"/>
      <c r="I60" s="71"/>
      <c r="J60" s="71"/>
      <c r="K60" s="71"/>
      <c r="L60" s="71"/>
      <c r="M60" s="71"/>
      <c r="N60" s="71"/>
      <c r="O60" s="71"/>
    </row>
    <row r="61" spans="1:15" x14ac:dyDescent="0.5">
      <c r="A61" s="105"/>
      <c r="B61" s="95"/>
      <c r="C61" s="95"/>
      <c r="D61" s="95"/>
      <c r="E61" s="95"/>
      <c r="F61" s="95"/>
      <c r="H61" s="71"/>
      <c r="I61" s="71"/>
      <c r="J61" s="71"/>
      <c r="K61" s="71"/>
      <c r="L61" s="71"/>
      <c r="M61" s="71"/>
      <c r="N61" s="71"/>
      <c r="O61" s="71"/>
    </row>
    <row r="62" spans="1:15" x14ac:dyDescent="0.5">
      <c r="A62" s="105"/>
      <c r="B62" s="95"/>
      <c r="C62" s="95"/>
      <c r="D62" s="95"/>
      <c r="E62" s="95"/>
      <c r="F62" s="95"/>
      <c r="H62" s="71"/>
      <c r="I62" s="71"/>
      <c r="J62" s="71"/>
      <c r="K62" s="71"/>
      <c r="L62" s="71"/>
      <c r="M62" s="71"/>
      <c r="N62" s="71"/>
      <c r="O62" s="71"/>
    </row>
    <row r="63" spans="1:15" x14ac:dyDescent="0.5">
      <c r="A63" s="105"/>
      <c r="B63" s="95"/>
      <c r="C63" s="95"/>
      <c r="D63" s="95"/>
      <c r="E63" s="95"/>
      <c r="F63" s="95"/>
      <c r="H63" s="71"/>
      <c r="I63" s="71"/>
      <c r="J63" s="71"/>
      <c r="K63" s="71"/>
      <c r="L63" s="71"/>
      <c r="M63" s="71"/>
      <c r="N63" s="71"/>
      <c r="O63" s="71"/>
    </row>
    <row r="64" spans="1:15" x14ac:dyDescent="0.5">
      <c r="A64" s="105"/>
      <c r="B64" s="95"/>
      <c r="C64" s="95"/>
      <c r="D64" s="95"/>
      <c r="E64" s="95"/>
      <c r="F64" s="95"/>
      <c r="H64" s="71"/>
      <c r="I64" s="71"/>
      <c r="J64" s="71"/>
      <c r="K64" s="71"/>
      <c r="L64" s="71"/>
      <c r="M64" s="71"/>
      <c r="N64" s="71"/>
      <c r="O64" s="71"/>
    </row>
    <row r="65" spans="1:15" x14ac:dyDescent="0.5">
      <c r="A65" s="94"/>
      <c r="B65" s="95"/>
      <c r="C65" s="95"/>
      <c r="D65" s="95"/>
      <c r="E65" s="95"/>
      <c r="F65" s="95"/>
      <c r="H65" s="71"/>
      <c r="I65" s="71"/>
      <c r="J65" s="71"/>
      <c r="K65" s="71"/>
      <c r="L65" s="71"/>
      <c r="M65" s="71"/>
      <c r="N65" s="71"/>
      <c r="O65" s="71"/>
    </row>
    <row r="66" spans="1:15" x14ac:dyDescent="0.5">
      <c r="A66" s="94"/>
      <c r="B66" s="95"/>
      <c r="C66" s="95"/>
      <c r="D66" s="95"/>
      <c r="E66" s="95"/>
      <c r="F66" s="95"/>
      <c r="H66" s="71"/>
      <c r="I66" s="71"/>
      <c r="J66" s="71"/>
      <c r="K66" s="71"/>
      <c r="L66" s="71"/>
      <c r="M66" s="71"/>
      <c r="N66" s="71"/>
      <c r="O66" s="71"/>
    </row>
    <row r="67" spans="1:15" x14ac:dyDescent="0.5">
      <c r="A67" s="94"/>
      <c r="B67" s="95"/>
      <c r="C67" s="95"/>
      <c r="D67" s="95"/>
      <c r="E67" s="95"/>
      <c r="F67" s="95"/>
      <c r="H67" s="71"/>
      <c r="I67" s="71"/>
      <c r="J67" s="71"/>
      <c r="K67" s="71"/>
      <c r="L67" s="71"/>
      <c r="M67" s="71"/>
      <c r="N67" s="71"/>
      <c r="O67" s="71"/>
    </row>
    <row r="68" spans="1:15" x14ac:dyDescent="0.5">
      <c r="A68" s="94"/>
      <c r="B68" s="95"/>
      <c r="C68" s="95"/>
      <c r="D68" s="95"/>
      <c r="E68" s="95"/>
      <c r="F68" s="95"/>
      <c r="H68" s="71"/>
      <c r="I68" s="71"/>
      <c r="J68" s="71"/>
      <c r="K68" s="71"/>
      <c r="L68" s="71"/>
      <c r="M68" s="71"/>
      <c r="N68" s="71"/>
      <c r="O68" s="71"/>
    </row>
    <row r="69" spans="1:15" x14ac:dyDescent="0.5">
      <c r="A69" s="94"/>
      <c r="B69" s="95"/>
      <c r="C69" s="95"/>
      <c r="D69" s="95"/>
      <c r="E69" s="95"/>
      <c r="F69" s="95"/>
      <c r="H69" s="71"/>
      <c r="I69" s="71"/>
      <c r="J69" s="71"/>
      <c r="K69" s="71"/>
      <c r="L69" s="71"/>
      <c r="M69" s="71"/>
      <c r="N69" s="71"/>
      <c r="O69" s="71"/>
    </row>
    <row r="70" spans="1:15" x14ac:dyDescent="0.5">
      <c r="A70" s="94"/>
      <c r="B70" s="95"/>
      <c r="C70" s="95"/>
      <c r="D70" s="95"/>
      <c r="E70" s="95"/>
      <c r="F70" s="95"/>
      <c r="H70" s="71"/>
      <c r="I70" s="71"/>
      <c r="J70" s="71"/>
      <c r="K70" s="71"/>
      <c r="L70" s="71"/>
      <c r="M70" s="71"/>
      <c r="N70" s="71"/>
      <c r="O70" s="71"/>
    </row>
    <row r="71" spans="1:15" x14ac:dyDescent="0.5">
      <c r="A71" s="94"/>
      <c r="B71" s="95"/>
      <c r="C71" s="95"/>
      <c r="D71" s="95"/>
      <c r="E71" s="95"/>
      <c r="F71" s="95"/>
      <c r="H71" s="71"/>
      <c r="I71" s="71"/>
      <c r="J71" s="71"/>
      <c r="K71" s="71"/>
      <c r="L71" s="71"/>
      <c r="M71" s="71"/>
      <c r="N71" s="71"/>
      <c r="O71" s="71"/>
    </row>
    <row r="72" spans="1:15" x14ac:dyDescent="0.5">
      <c r="A72" s="94"/>
      <c r="B72" s="95"/>
      <c r="C72" s="95"/>
      <c r="D72" s="95"/>
      <c r="E72" s="95"/>
      <c r="F72" s="95"/>
      <c r="H72" s="71"/>
      <c r="I72" s="71"/>
      <c r="J72" s="71"/>
      <c r="K72" s="71"/>
      <c r="L72" s="71"/>
      <c r="M72" s="71"/>
      <c r="N72" s="71"/>
      <c r="O72" s="71"/>
    </row>
    <row r="73" spans="1:15" x14ac:dyDescent="0.5">
      <c r="A73" s="94"/>
      <c r="B73" s="95"/>
      <c r="C73" s="95"/>
      <c r="D73" s="95"/>
      <c r="E73" s="95"/>
      <c r="F73" s="95"/>
      <c r="H73" s="71"/>
      <c r="I73" s="71"/>
      <c r="J73" s="71"/>
      <c r="K73" s="71"/>
      <c r="L73" s="71"/>
      <c r="M73" s="71"/>
      <c r="N73" s="71"/>
      <c r="O73" s="71"/>
    </row>
    <row r="74" spans="1:15" x14ac:dyDescent="0.5">
      <c r="A74" s="94"/>
      <c r="B74" s="95"/>
      <c r="C74" s="95"/>
      <c r="D74" s="95"/>
      <c r="E74" s="95"/>
      <c r="F74" s="95"/>
      <c r="H74" s="71"/>
      <c r="I74" s="71"/>
      <c r="J74" s="71"/>
      <c r="K74" s="71"/>
      <c r="L74" s="71"/>
      <c r="M74" s="71"/>
      <c r="N74" s="71"/>
      <c r="O74" s="71"/>
    </row>
    <row r="75" spans="1:15" x14ac:dyDescent="0.5">
      <c r="A75" s="94"/>
      <c r="B75" s="95"/>
      <c r="C75" s="95"/>
      <c r="D75" s="95"/>
      <c r="E75" s="95"/>
      <c r="F75" s="95"/>
      <c r="H75" s="71"/>
      <c r="I75" s="71"/>
      <c r="J75" s="71"/>
      <c r="K75" s="71"/>
      <c r="L75" s="71"/>
      <c r="M75" s="71"/>
      <c r="N75" s="71"/>
      <c r="O75" s="71"/>
    </row>
    <row r="76" spans="1:15" x14ac:dyDescent="0.5">
      <c r="A76" s="94"/>
      <c r="B76" s="95"/>
      <c r="C76" s="95"/>
      <c r="D76" s="95"/>
      <c r="E76" s="95"/>
      <c r="F76" s="95"/>
      <c r="H76" s="71"/>
      <c r="I76" s="71"/>
      <c r="J76" s="71"/>
      <c r="K76" s="71"/>
      <c r="L76" s="71"/>
      <c r="M76" s="71"/>
      <c r="N76" s="71"/>
      <c r="O76" s="71"/>
    </row>
    <row r="77" spans="1:15" x14ac:dyDescent="0.5">
      <c r="A77" s="94"/>
      <c r="B77" s="95"/>
      <c r="C77" s="95"/>
      <c r="D77" s="95"/>
      <c r="E77" s="95"/>
      <c r="F77" s="95"/>
      <c r="H77" s="71"/>
      <c r="I77" s="71"/>
      <c r="J77" s="71"/>
      <c r="K77" s="71"/>
      <c r="L77" s="71"/>
      <c r="M77" s="71"/>
      <c r="N77" s="71"/>
      <c r="O77" s="71"/>
    </row>
    <row r="78" spans="1:15" x14ac:dyDescent="0.5">
      <c r="A78" s="94"/>
      <c r="B78" s="95"/>
      <c r="C78" s="95"/>
      <c r="D78" s="95"/>
      <c r="E78" s="95"/>
      <c r="F78" s="95"/>
      <c r="H78" s="71"/>
      <c r="I78" s="71"/>
      <c r="J78" s="71"/>
      <c r="K78" s="71"/>
      <c r="L78" s="71"/>
      <c r="M78" s="71"/>
      <c r="N78" s="71"/>
      <c r="O78" s="71"/>
    </row>
    <row r="79" spans="1:15" x14ac:dyDescent="0.5">
      <c r="A79" s="94"/>
      <c r="B79" s="95"/>
      <c r="C79" s="95"/>
      <c r="D79" s="95"/>
      <c r="E79" s="95"/>
      <c r="F79" s="95"/>
      <c r="H79" s="71"/>
      <c r="I79" s="71"/>
      <c r="J79" s="71"/>
      <c r="K79" s="71"/>
      <c r="L79" s="71"/>
      <c r="M79" s="71"/>
      <c r="N79" s="71"/>
      <c r="O79" s="71"/>
    </row>
    <row r="80" spans="1:15" x14ac:dyDescent="0.5">
      <c r="A80" s="94"/>
      <c r="B80" s="95"/>
      <c r="C80" s="95"/>
      <c r="D80" s="95"/>
      <c r="E80" s="95"/>
      <c r="F80" s="95"/>
      <c r="H80" s="71"/>
      <c r="I80" s="71"/>
      <c r="J80" s="71"/>
      <c r="K80" s="71"/>
      <c r="L80" s="71"/>
      <c r="M80" s="71"/>
      <c r="N80" s="71"/>
      <c r="O80" s="71"/>
    </row>
    <row r="81" spans="1:15" x14ac:dyDescent="0.5">
      <c r="A81" s="94"/>
      <c r="B81" s="95"/>
      <c r="C81" s="95"/>
      <c r="D81" s="95"/>
      <c r="E81" s="95"/>
      <c r="F81" s="95"/>
      <c r="H81" s="71"/>
      <c r="I81" s="71"/>
      <c r="J81" s="71"/>
      <c r="K81" s="71"/>
      <c r="L81" s="71"/>
      <c r="M81" s="71"/>
      <c r="N81" s="71"/>
      <c r="O81" s="71"/>
    </row>
    <row r="82" spans="1:15" x14ac:dyDescent="0.5">
      <c r="A82" s="94"/>
      <c r="B82" s="95"/>
      <c r="C82" s="95"/>
      <c r="D82" s="95"/>
      <c r="E82" s="95"/>
      <c r="F82" s="95"/>
      <c r="H82" s="71"/>
      <c r="I82" s="71"/>
      <c r="J82" s="71"/>
      <c r="K82" s="71"/>
      <c r="L82" s="71"/>
      <c r="M82" s="71"/>
      <c r="N82" s="71"/>
      <c r="O82" s="71"/>
    </row>
    <row r="83" spans="1:15" x14ac:dyDescent="0.5">
      <c r="A83" s="94"/>
      <c r="B83" s="95"/>
      <c r="C83" s="95"/>
      <c r="D83" s="95"/>
      <c r="E83" s="95"/>
      <c r="F83" s="95"/>
      <c r="H83" s="71"/>
      <c r="I83" s="71"/>
      <c r="J83" s="71"/>
      <c r="K83" s="71"/>
      <c r="L83" s="71"/>
      <c r="M83" s="71"/>
      <c r="N83" s="71"/>
      <c r="O83" s="71"/>
    </row>
    <row r="84" spans="1:15" x14ac:dyDescent="0.5">
      <c r="A84" s="94"/>
      <c r="B84" s="95"/>
      <c r="C84" s="95"/>
      <c r="D84" s="95"/>
      <c r="E84" s="95"/>
      <c r="F84" s="95"/>
      <c r="H84" s="71"/>
      <c r="I84" s="71"/>
      <c r="J84" s="71"/>
      <c r="K84" s="71"/>
      <c r="L84" s="71"/>
      <c r="M84" s="71"/>
      <c r="N84" s="71"/>
      <c r="O84" s="71"/>
    </row>
    <row r="85" spans="1:15" x14ac:dyDescent="0.5">
      <c r="A85" s="94"/>
      <c r="B85" s="95"/>
      <c r="C85" s="95"/>
      <c r="D85" s="95"/>
      <c r="E85" s="95"/>
      <c r="F85" s="95"/>
      <c r="H85" s="71"/>
      <c r="I85" s="71"/>
      <c r="J85" s="71"/>
      <c r="K85" s="71"/>
      <c r="L85" s="71"/>
      <c r="M85" s="71"/>
      <c r="N85" s="71"/>
      <c r="O85" s="71"/>
    </row>
    <row r="86" spans="1:15" x14ac:dyDescent="0.5">
      <c r="A86" s="94"/>
      <c r="B86" s="95"/>
      <c r="C86" s="95"/>
      <c r="D86" s="95"/>
      <c r="E86" s="95"/>
      <c r="F86" s="95"/>
      <c r="H86" s="71"/>
      <c r="I86" s="71"/>
      <c r="J86" s="71"/>
      <c r="K86" s="71"/>
      <c r="L86" s="71"/>
      <c r="M86" s="71"/>
      <c r="N86" s="71"/>
      <c r="O86" s="71"/>
    </row>
    <row r="87" spans="1:15" x14ac:dyDescent="0.5">
      <c r="A87" s="94"/>
      <c r="B87" s="95"/>
      <c r="C87" s="95"/>
      <c r="D87" s="95"/>
      <c r="E87" s="95"/>
      <c r="F87" s="95"/>
      <c r="H87" s="71"/>
      <c r="I87" s="71"/>
      <c r="J87" s="71"/>
      <c r="K87" s="71"/>
      <c r="L87" s="71"/>
      <c r="M87" s="71"/>
      <c r="N87" s="71"/>
      <c r="O87" s="71"/>
    </row>
    <row r="88" spans="1:15" x14ac:dyDescent="0.5">
      <c r="A88" s="94"/>
      <c r="B88" s="95"/>
      <c r="C88" s="95"/>
      <c r="D88" s="95"/>
      <c r="E88" s="95"/>
      <c r="F88" s="95"/>
      <c r="H88" s="71"/>
      <c r="I88" s="71"/>
      <c r="J88" s="71"/>
      <c r="K88" s="71"/>
      <c r="L88" s="71"/>
      <c r="M88" s="71"/>
      <c r="N88" s="71"/>
      <c r="O88" s="71"/>
    </row>
    <row r="89" spans="1:15" x14ac:dyDescent="0.5">
      <c r="A89" s="94"/>
      <c r="B89" s="95"/>
      <c r="C89" s="95"/>
      <c r="D89" s="95"/>
      <c r="E89" s="95"/>
      <c r="F89" s="95"/>
      <c r="H89" s="71"/>
      <c r="I89" s="71"/>
      <c r="J89" s="71"/>
      <c r="K89" s="71"/>
      <c r="L89" s="71"/>
      <c r="M89" s="71"/>
      <c r="N89" s="71"/>
      <c r="O89" s="71"/>
    </row>
    <row r="90" spans="1:15" x14ac:dyDescent="0.5">
      <c r="A90" s="94"/>
      <c r="B90" s="95"/>
      <c r="C90" s="95"/>
      <c r="D90" s="95"/>
      <c r="E90" s="95"/>
      <c r="F90" s="95"/>
      <c r="H90" s="71"/>
      <c r="I90" s="71"/>
      <c r="J90" s="71"/>
      <c r="K90" s="71"/>
      <c r="L90" s="71"/>
      <c r="M90" s="71"/>
      <c r="N90" s="71"/>
      <c r="O90" s="71"/>
    </row>
    <row r="91" spans="1:15" x14ac:dyDescent="0.5">
      <c r="A91" s="94"/>
      <c r="B91" s="95"/>
      <c r="C91" s="95"/>
      <c r="D91" s="95"/>
      <c r="E91" s="95"/>
      <c r="F91" s="95"/>
      <c r="H91" s="71"/>
      <c r="I91" s="71"/>
      <c r="J91" s="71"/>
      <c r="K91" s="71"/>
      <c r="L91" s="71"/>
      <c r="M91" s="71"/>
      <c r="N91" s="71"/>
      <c r="O91" s="71"/>
    </row>
    <row r="92" spans="1:15" x14ac:dyDescent="0.5">
      <c r="A92" s="94"/>
      <c r="B92" s="95"/>
      <c r="C92" s="95"/>
      <c r="D92" s="95"/>
      <c r="E92" s="95"/>
      <c r="F92" s="95"/>
      <c r="H92" s="71"/>
      <c r="I92" s="71"/>
      <c r="J92" s="71"/>
      <c r="K92" s="71"/>
      <c r="L92" s="71"/>
      <c r="M92" s="71"/>
      <c r="N92" s="71"/>
      <c r="O92" s="71"/>
    </row>
    <row r="93" spans="1:15" x14ac:dyDescent="0.5">
      <c r="A93" s="94"/>
      <c r="B93" s="95"/>
      <c r="C93" s="95"/>
      <c r="D93" s="95"/>
      <c r="E93" s="95"/>
      <c r="F93" s="95"/>
      <c r="H93" s="71"/>
      <c r="I93" s="71"/>
      <c r="J93" s="71"/>
      <c r="K93" s="71"/>
      <c r="L93" s="71"/>
      <c r="M93" s="71"/>
      <c r="N93" s="71"/>
      <c r="O93" s="71"/>
    </row>
    <row r="94" spans="1:15" x14ac:dyDescent="0.5">
      <c r="A94" s="94"/>
      <c r="B94" s="95"/>
      <c r="C94" s="95"/>
      <c r="D94" s="95"/>
      <c r="E94" s="95"/>
      <c r="F94" s="95"/>
      <c r="H94" s="71"/>
      <c r="I94" s="71"/>
      <c r="J94" s="71"/>
      <c r="K94" s="71"/>
      <c r="L94" s="71"/>
      <c r="M94" s="71"/>
      <c r="N94" s="71"/>
      <c r="O94" s="71"/>
    </row>
    <row r="95" spans="1:15" x14ac:dyDescent="0.5">
      <c r="A95" s="94"/>
      <c r="B95" s="95"/>
      <c r="C95" s="95"/>
      <c r="D95" s="95"/>
      <c r="E95" s="95"/>
      <c r="F95" s="95"/>
      <c r="H95" s="71"/>
      <c r="I95" s="71"/>
      <c r="J95" s="71"/>
      <c r="K95" s="71"/>
      <c r="L95" s="71"/>
      <c r="M95" s="71"/>
      <c r="N95" s="71"/>
      <c r="O95" s="71"/>
    </row>
    <row r="96" spans="1:15" x14ac:dyDescent="0.5">
      <c r="A96" s="94"/>
      <c r="B96" s="95"/>
      <c r="C96" s="95"/>
      <c r="D96" s="95"/>
      <c r="E96" s="95"/>
      <c r="F96" s="95"/>
      <c r="H96" s="71"/>
      <c r="I96" s="71"/>
      <c r="J96" s="71"/>
      <c r="K96" s="71"/>
      <c r="L96" s="71"/>
      <c r="M96" s="71"/>
      <c r="N96" s="71"/>
      <c r="O96" s="71"/>
    </row>
    <row r="97" spans="1:15" x14ac:dyDescent="0.5">
      <c r="A97" s="94"/>
      <c r="B97" s="95"/>
      <c r="C97" s="95"/>
      <c r="D97" s="95"/>
      <c r="E97" s="95"/>
      <c r="F97" s="95"/>
      <c r="H97" s="71"/>
      <c r="I97" s="71"/>
      <c r="J97" s="71"/>
      <c r="K97" s="71"/>
      <c r="L97" s="71"/>
      <c r="M97" s="71"/>
      <c r="N97" s="71"/>
      <c r="O97" s="71"/>
    </row>
    <row r="98" spans="1:15" x14ac:dyDescent="0.5">
      <c r="A98" s="94"/>
      <c r="B98" s="95"/>
      <c r="C98" s="95"/>
      <c r="D98" s="95"/>
      <c r="E98" s="95"/>
      <c r="F98" s="95"/>
      <c r="H98" s="71"/>
      <c r="I98" s="71"/>
      <c r="J98" s="71"/>
      <c r="K98" s="71"/>
      <c r="L98" s="71"/>
      <c r="M98" s="71"/>
      <c r="N98" s="71"/>
      <c r="O98" s="71"/>
    </row>
    <row r="99" spans="1:15" x14ac:dyDescent="0.5">
      <c r="A99" s="94"/>
      <c r="B99" s="95"/>
      <c r="C99" s="95"/>
      <c r="D99" s="95"/>
      <c r="E99" s="95"/>
      <c r="F99" s="95"/>
      <c r="H99" s="71"/>
      <c r="I99" s="71"/>
      <c r="J99" s="71"/>
      <c r="K99" s="71"/>
      <c r="L99" s="71"/>
      <c r="M99" s="71"/>
      <c r="N99" s="71"/>
      <c r="O99" s="71"/>
    </row>
    <row r="100" spans="1:15" x14ac:dyDescent="0.5">
      <c r="A100" s="94"/>
      <c r="B100" s="95"/>
      <c r="C100" s="95"/>
      <c r="D100" s="95"/>
      <c r="E100" s="95"/>
      <c r="F100" s="95"/>
      <c r="H100" s="71"/>
      <c r="I100" s="71"/>
      <c r="J100" s="71"/>
      <c r="K100" s="71"/>
      <c r="L100" s="71"/>
      <c r="M100" s="71"/>
      <c r="N100" s="71"/>
      <c r="O100" s="71"/>
    </row>
    <row r="101" spans="1:15" x14ac:dyDescent="0.5">
      <c r="A101" s="94"/>
      <c r="B101" s="95"/>
      <c r="C101" s="95"/>
      <c r="D101" s="95"/>
      <c r="E101" s="95"/>
      <c r="F101" s="95"/>
      <c r="H101" s="71"/>
      <c r="I101" s="71"/>
      <c r="J101" s="71"/>
      <c r="K101" s="71"/>
      <c r="L101" s="71"/>
      <c r="M101" s="71"/>
      <c r="N101" s="71"/>
      <c r="O101" s="71"/>
    </row>
    <row r="102" spans="1:15" x14ac:dyDescent="0.5">
      <c r="A102" s="94"/>
      <c r="B102" s="95"/>
      <c r="C102" s="95"/>
      <c r="D102" s="95"/>
      <c r="E102" s="95"/>
      <c r="F102" s="95"/>
      <c r="H102" s="71"/>
      <c r="I102" s="71"/>
      <c r="J102" s="71"/>
      <c r="K102" s="71"/>
      <c r="L102" s="71"/>
      <c r="M102" s="71"/>
      <c r="N102" s="71"/>
      <c r="O102" s="71"/>
    </row>
    <row r="103" spans="1:15" x14ac:dyDescent="0.5">
      <c r="B103" s="95"/>
      <c r="C103" s="95"/>
      <c r="D103" s="95"/>
      <c r="E103" s="95"/>
      <c r="F103" s="95"/>
      <c r="H103" s="71"/>
      <c r="I103" s="71"/>
      <c r="J103" s="71"/>
      <c r="K103" s="71"/>
      <c r="L103" s="71"/>
      <c r="M103" s="71"/>
      <c r="N103" s="71"/>
      <c r="O103" s="71"/>
    </row>
    <row r="104" spans="1:15" x14ac:dyDescent="0.5">
      <c r="B104" s="95"/>
      <c r="C104" s="95"/>
      <c r="D104" s="95"/>
      <c r="E104" s="95"/>
      <c r="F104" s="95"/>
      <c r="H104" s="71"/>
      <c r="I104" s="71"/>
      <c r="J104" s="71"/>
      <c r="K104" s="71"/>
      <c r="L104" s="71"/>
      <c r="M104" s="71"/>
      <c r="N104" s="71"/>
      <c r="O104" s="71"/>
    </row>
    <row r="105" spans="1:15" x14ac:dyDescent="0.5">
      <c r="F105" s="95"/>
      <c r="H105" s="71"/>
      <c r="I105" s="71"/>
      <c r="J105" s="71"/>
      <c r="K105" s="71"/>
      <c r="L105" s="71"/>
      <c r="M105" s="71"/>
      <c r="N105" s="71"/>
      <c r="O105" s="7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B8F14-F6A1-4EE6-9C1F-86C0CD3C05A7}">
  <sheetPr codeName="Sheet5">
    <tabColor theme="7" tint="0.39997558519241921"/>
  </sheetPr>
  <dimension ref="D1:P50"/>
  <sheetViews>
    <sheetView topLeftCell="D1" workbookViewId="0">
      <selection activeCell="D5" sqref="D5"/>
    </sheetView>
  </sheetViews>
  <sheetFormatPr defaultRowHeight="18" x14ac:dyDescent="0.5"/>
  <cols>
    <col min="4" max="4" width="12" bestFit="1" customWidth="1"/>
    <col min="5" max="5" width="10.5546875" bestFit="1" customWidth="1"/>
    <col min="7" max="7" width="10.5546875" bestFit="1" customWidth="1"/>
    <col min="9" max="9" width="10.5546875" bestFit="1" customWidth="1"/>
  </cols>
  <sheetData>
    <row r="1" spans="4:16" ht="21.6" x14ac:dyDescent="0.55000000000000004">
      <c r="D1" s="93" t="s">
        <v>121</v>
      </c>
      <c r="L1" s="93"/>
    </row>
    <row r="2" spans="4:16" x14ac:dyDescent="0.5">
      <c r="D2" s="67" t="s">
        <v>114</v>
      </c>
      <c r="E2" s="75" t="s">
        <v>115</v>
      </c>
      <c r="G2" s="75" t="s">
        <v>116</v>
      </c>
      <c r="I2" s="75" t="s">
        <v>117</v>
      </c>
      <c r="K2" s="75" t="s">
        <v>118</v>
      </c>
      <c r="M2" s="71"/>
      <c r="N2" s="75" t="s">
        <v>119</v>
      </c>
      <c r="O2" s="71"/>
    </row>
    <row r="3" spans="4:16" x14ac:dyDescent="0.5">
      <c r="D3" s="105">
        <v>45658</v>
      </c>
      <c r="E3" s="95"/>
      <c r="F3" s="95"/>
      <c r="G3" s="95"/>
      <c r="H3" s="95"/>
      <c r="I3" s="95">
        <v>120.96</v>
      </c>
      <c r="K3" s="71"/>
      <c r="L3" s="71"/>
      <c r="M3" s="71"/>
      <c r="N3" s="71" t="s">
        <v>127</v>
      </c>
      <c r="O3" s="71"/>
      <c r="P3" s="71"/>
    </row>
    <row r="4" spans="4:16" x14ac:dyDescent="0.5">
      <c r="D4" s="124">
        <v>45718</v>
      </c>
      <c r="E4" s="95">
        <v>0.01</v>
      </c>
      <c r="F4" s="95"/>
      <c r="G4" s="95"/>
      <c r="H4" s="95"/>
      <c r="I4" s="95">
        <f>I3+E4-G4</f>
        <v>120.97</v>
      </c>
      <c r="K4" s="71"/>
      <c r="L4" s="71"/>
      <c r="M4" s="71"/>
      <c r="N4" s="71"/>
      <c r="O4" s="71"/>
      <c r="P4" s="71"/>
    </row>
    <row r="5" spans="4:16" x14ac:dyDescent="0.5">
      <c r="D5" s="105"/>
      <c r="E5" s="95"/>
      <c r="F5" s="95"/>
      <c r="G5" s="95"/>
      <c r="H5" s="95"/>
      <c r="I5" s="95">
        <f t="shared" ref="I5:I50" si="0">I4+E5-G5</f>
        <v>120.97</v>
      </c>
      <c r="K5" s="71"/>
      <c r="L5" s="71"/>
      <c r="M5" s="71"/>
      <c r="N5" s="71"/>
      <c r="O5" s="71"/>
      <c r="P5" s="71"/>
    </row>
    <row r="6" spans="4:16" x14ac:dyDescent="0.5">
      <c r="D6" s="105"/>
      <c r="E6" s="95"/>
      <c r="F6" s="95"/>
      <c r="G6" s="95"/>
      <c r="H6" s="95"/>
      <c r="I6" s="95">
        <f t="shared" si="0"/>
        <v>120.97</v>
      </c>
      <c r="K6" s="71"/>
      <c r="L6" s="71"/>
      <c r="M6" s="71"/>
      <c r="N6" s="71"/>
      <c r="O6" s="71"/>
      <c r="P6" s="71"/>
    </row>
    <row r="7" spans="4:16" x14ac:dyDescent="0.5">
      <c r="D7" s="105"/>
      <c r="E7" s="95"/>
      <c r="F7" s="117"/>
      <c r="G7" s="95"/>
      <c r="H7" s="95"/>
      <c r="I7" s="95">
        <f t="shared" si="0"/>
        <v>120.97</v>
      </c>
      <c r="K7" s="71"/>
      <c r="L7" s="71"/>
      <c r="M7" s="71"/>
      <c r="N7" s="71"/>
      <c r="O7" s="71"/>
      <c r="P7" s="71"/>
    </row>
    <row r="8" spans="4:16" x14ac:dyDescent="0.5">
      <c r="D8" s="105"/>
      <c r="E8" s="95"/>
      <c r="F8" s="95"/>
      <c r="G8" s="95"/>
      <c r="H8" s="95"/>
      <c r="I8" s="95">
        <f t="shared" si="0"/>
        <v>120.97</v>
      </c>
      <c r="K8" s="71"/>
      <c r="L8" s="71"/>
      <c r="M8" s="71"/>
      <c r="N8" s="71"/>
      <c r="O8" s="71"/>
      <c r="P8" s="71"/>
    </row>
    <row r="9" spans="4:16" x14ac:dyDescent="0.5">
      <c r="D9" s="105"/>
      <c r="E9" s="95"/>
      <c r="F9" s="95"/>
      <c r="G9" s="95"/>
      <c r="H9" s="95"/>
      <c r="I9" s="95">
        <f t="shared" si="0"/>
        <v>120.97</v>
      </c>
      <c r="K9" s="71"/>
      <c r="L9" s="71"/>
      <c r="M9" s="71"/>
      <c r="N9" s="71"/>
      <c r="O9" s="71"/>
      <c r="P9" s="71"/>
    </row>
    <row r="10" spans="4:16" x14ac:dyDescent="0.5">
      <c r="D10" s="105"/>
      <c r="E10" s="95"/>
      <c r="F10" s="95"/>
      <c r="G10" s="95"/>
      <c r="H10" s="95"/>
      <c r="I10" s="95">
        <f t="shared" si="0"/>
        <v>120.97</v>
      </c>
      <c r="K10" s="71"/>
      <c r="L10" s="71"/>
      <c r="M10" s="71"/>
      <c r="N10" s="71"/>
      <c r="O10" s="71"/>
      <c r="P10" s="71"/>
    </row>
    <row r="11" spans="4:16" x14ac:dyDescent="0.5">
      <c r="D11" s="105"/>
      <c r="E11" s="95"/>
      <c r="F11" s="95"/>
      <c r="G11" s="95"/>
      <c r="H11" s="95"/>
      <c r="I11" s="95">
        <f t="shared" si="0"/>
        <v>120.97</v>
      </c>
      <c r="K11" s="71"/>
      <c r="L11" s="71"/>
      <c r="M11" s="71"/>
      <c r="N11" s="71"/>
      <c r="O11" s="71"/>
      <c r="P11" s="71"/>
    </row>
    <row r="12" spans="4:16" x14ac:dyDescent="0.5">
      <c r="D12" s="105"/>
      <c r="E12" s="95"/>
      <c r="F12" s="95"/>
      <c r="G12" s="95"/>
      <c r="H12" s="95"/>
      <c r="I12" s="95">
        <f t="shared" si="0"/>
        <v>120.97</v>
      </c>
      <c r="K12" s="71"/>
      <c r="L12" s="71"/>
      <c r="M12" s="71"/>
      <c r="N12" s="71"/>
      <c r="O12" s="71"/>
      <c r="P12" s="71"/>
    </row>
    <row r="13" spans="4:16" x14ac:dyDescent="0.5">
      <c r="D13" s="105"/>
      <c r="E13" s="95"/>
      <c r="F13" s="95"/>
      <c r="G13" s="95"/>
      <c r="H13" s="95"/>
      <c r="I13" s="95">
        <f t="shared" si="0"/>
        <v>120.97</v>
      </c>
      <c r="K13" s="71"/>
      <c r="L13" s="71"/>
      <c r="M13" s="71"/>
      <c r="N13" s="71"/>
      <c r="O13" s="71"/>
      <c r="P13" s="71"/>
    </row>
    <row r="14" spans="4:16" x14ac:dyDescent="0.5">
      <c r="D14" s="105"/>
      <c r="E14" s="95"/>
      <c r="F14" s="95"/>
      <c r="G14" s="95"/>
      <c r="H14" s="95"/>
      <c r="I14" s="95">
        <f t="shared" si="0"/>
        <v>120.97</v>
      </c>
      <c r="K14" s="71"/>
      <c r="L14" s="71"/>
      <c r="M14" s="71"/>
      <c r="N14" s="71"/>
      <c r="O14" s="71"/>
      <c r="P14" s="71"/>
    </row>
    <row r="15" spans="4:16" x14ac:dyDescent="0.5">
      <c r="D15" s="105"/>
      <c r="E15" s="95"/>
      <c r="F15" s="95"/>
      <c r="G15" s="95"/>
      <c r="H15" s="95"/>
      <c r="I15" s="95">
        <f t="shared" si="0"/>
        <v>120.97</v>
      </c>
      <c r="K15" s="71"/>
      <c r="L15" s="71"/>
      <c r="M15" s="71"/>
      <c r="N15" s="71"/>
      <c r="O15" s="71"/>
      <c r="P15" s="71"/>
    </row>
    <row r="16" spans="4:16" x14ac:dyDescent="0.5">
      <c r="D16" s="105"/>
      <c r="E16" s="95"/>
      <c r="F16" s="95"/>
      <c r="G16" s="95"/>
      <c r="H16" s="95"/>
      <c r="I16" s="95">
        <f t="shared" si="0"/>
        <v>120.97</v>
      </c>
      <c r="K16" s="71"/>
      <c r="L16" s="71"/>
      <c r="M16" s="71"/>
      <c r="N16" s="71"/>
      <c r="O16" s="71"/>
      <c r="P16" s="71"/>
    </row>
    <row r="17" spans="4:16" x14ac:dyDescent="0.5">
      <c r="D17" s="105"/>
      <c r="E17" s="95"/>
      <c r="F17" s="95"/>
      <c r="G17" s="95"/>
      <c r="H17" s="95"/>
      <c r="I17" s="95">
        <f t="shared" si="0"/>
        <v>120.97</v>
      </c>
      <c r="K17" s="71"/>
      <c r="L17" s="71"/>
      <c r="M17" s="71"/>
      <c r="N17" s="71"/>
      <c r="O17" s="71"/>
      <c r="P17" s="71"/>
    </row>
    <row r="18" spans="4:16" x14ac:dyDescent="0.5">
      <c r="D18" s="105"/>
      <c r="I18" s="95">
        <f t="shared" si="0"/>
        <v>120.97</v>
      </c>
    </row>
    <row r="19" spans="4:16" x14ac:dyDescent="0.5">
      <c r="D19" s="105"/>
      <c r="I19" s="95">
        <f t="shared" si="0"/>
        <v>120.97</v>
      </c>
    </row>
    <row r="20" spans="4:16" x14ac:dyDescent="0.5">
      <c r="D20" s="105"/>
      <c r="I20" s="95">
        <f t="shared" si="0"/>
        <v>120.97</v>
      </c>
    </row>
    <row r="21" spans="4:16" x14ac:dyDescent="0.5">
      <c r="D21" s="105"/>
      <c r="I21" s="95">
        <f t="shared" si="0"/>
        <v>120.97</v>
      </c>
    </row>
    <row r="22" spans="4:16" x14ac:dyDescent="0.5">
      <c r="D22" s="105"/>
      <c r="I22" s="95">
        <f t="shared" si="0"/>
        <v>120.97</v>
      </c>
    </row>
    <row r="23" spans="4:16" x14ac:dyDescent="0.5">
      <c r="D23" s="105"/>
      <c r="I23" s="95">
        <f t="shared" si="0"/>
        <v>120.97</v>
      </c>
    </row>
    <row r="24" spans="4:16" x14ac:dyDescent="0.5">
      <c r="D24" s="105"/>
      <c r="I24" s="95">
        <f t="shared" si="0"/>
        <v>120.97</v>
      </c>
    </row>
    <row r="25" spans="4:16" x14ac:dyDescent="0.5">
      <c r="D25" s="105"/>
      <c r="I25" s="95">
        <f t="shared" si="0"/>
        <v>120.97</v>
      </c>
    </row>
    <row r="26" spans="4:16" x14ac:dyDescent="0.5">
      <c r="I26" s="95">
        <f t="shared" si="0"/>
        <v>120.97</v>
      </c>
    </row>
    <row r="27" spans="4:16" x14ac:dyDescent="0.5">
      <c r="I27" s="95">
        <f t="shared" si="0"/>
        <v>120.97</v>
      </c>
    </row>
    <row r="28" spans="4:16" x14ac:dyDescent="0.5">
      <c r="I28" s="95">
        <f t="shared" si="0"/>
        <v>120.97</v>
      </c>
    </row>
    <row r="29" spans="4:16" x14ac:dyDescent="0.5">
      <c r="I29" s="95">
        <f t="shared" si="0"/>
        <v>120.97</v>
      </c>
    </row>
    <row r="30" spans="4:16" x14ac:dyDescent="0.5">
      <c r="I30" s="95">
        <f t="shared" si="0"/>
        <v>120.97</v>
      </c>
    </row>
    <row r="31" spans="4:16" x14ac:dyDescent="0.5">
      <c r="I31" s="95">
        <f t="shared" si="0"/>
        <v>120.97</v>
      </c>
    </row>
    <row r="32" spans="4:16" x14ac:dyDescent="0.5">
      <c r="I32" s="95">
        <f t="shared" si="0"/>
        <v>120.97</v>
      </c>
    </row>
    <row r="33" spans="9:9" x14ac:dyDescent="0.5">
      <c r="I33" s="95">
        <f t="shared" si="0"/>
        <v>120.97</v>
      </c>
    </row>
    <row r="34" spans="9:9" x14ac:dyDescent="0.5">
      <c r="I34" s="95">
        <f t="shared" si="0"/>
        <v>120.97</v>
      </c>
    </row>
    <row r="35" spans="9:9" x14ac:dyDescent="0.5">
      <c r="I35" s="95">
        <f t="shared" si="0"/>
        <v>120.97</v>
      </c>
    </row>
    <row r="36" spans="9:9" x14ac:dyDescent="0.5">
      <c r="I36" s="95">
        <f t="shared" si="0"/>
        <v>120.97</v>
      </c>
    </row>
    <row r="37" spans="9:9" x14ac:dyDescent="0.5">
      <c r="I37" s="95">
        <f t="shared" si="0"/>
        <v>120.97</v>
      </c>
    </row>
    <row r="38" spans="9:9" x14ac:dyDescent="0.5">
      <c r="I38" s="95">
        <f t="shared" si="0"/>
        <v>120.97</v>
      </c>
    </row>
    <row r="39" spans="9:9" x14ac:dyDescent="0.5">
      <c r="I39" s="95">
        <f t="shared" si="0"/>
        <v>120.97</v>
      </c>
    </row>
    <row r="40" spans="9:9" x14ac:dyDescent="0.5">
      <c r="I40" s="95">
        <f t="shared" si="0"/>
        <v>120.97</v>
      </c>
    </row>
    <row r="41" spans="9:9" x14ac:dyDescent="0.5">
      <c r="I41" s="95">
        <f t="shared" si="0"/>
        <v>120.97</v>
      </c>
    </row>
    <row r="42" spans="9:9" x14ac:dyDescent="0.5">
      <c r="I42" s="95">
        <f t="shared" si="0"/>
        <v>120.97</v>
      </c>
    </row>
    <row r="43" spans="9:9" x14ac:dyDescent="0.5">
      <c r="I43" s="95">
        <f t="shared" si="0"/>
        <v>120.97</v>
      </c>
    </row>
    <row r="44" spans="9:9" x14ac:dyDescent="0.5">
      <c r="I44" s="95">
        <f t="shared" si="0"/>
        <v>120.97</v>
      </c>
    </row>
    <row r="45" spans="9:9" x14ac:dyDescent="0.5">
      <c r="I45" s="95">
        <f t="shared" si="0"/>
        <v>120.97</v>
      </c>
    </row>
    <row r="46" spans="9:9" x14ac:dyDescent="0.5">
      <c r="I46" s="95">
        <f t="shared" si="0"/>
        <v>120.97</v>
      </c>
    </row>
    <row r="47" spans="9:9" x14ac:dyDescent="0.5">
      <c r="I47" s="95">
        <f t="shared" si="0"/>
        <v>120.97</v>
      </c>
    </row>
    <row r="48" spans="9:9" x14ac:dyDescent="0.5">
      <c r="I48" s="95">
        <f t="shared" si="0"/>
        <v>120.97</v>
      </c>
    </row>
    <row r="49" spans="9:9" x14ac:dyDescent="0.5">
      <c r="I49" s="95">
        <f t="shared" si="0"/>
        <v>120.97</v>
      </c>
    </row>
    <row r="50" spans="9:9" x14ac:dyDescent="0.5">
      <c r="I50" s="95">
        <f t="shared" si="0"/>
        <v>120.97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55B8B-A37F-4F54-91A1-EC9B165F151A}">
  <sheetPr>
    <tabColor theme="7" tint="0.39997558519241921"/>
  </sheetPr>
  <dimension ref="A1:M19"/>
  <sheetViews>
    <sheetView workbookViewId="0">
      <selection activeCell="A12" sqref="A12"/>
    </sheetView>
  </sheetViews>
  <sheetFormatPr defaultRowHeight="18" x14ac:dyDescent="0.5"/>
  <cols>
    <col min="1" max="1" width="12" bestFit="1" customWidth="1"/>
    <col min="2" max="2" width="11.44140625" bestFit="1" customWidth="1"/>
    <col min="4" max="4" width="10.5546875" bestFit="1" customWidth="1"/>
    <col min="6" max="6" width="10.5546875" bestFit="1" customWidth="1"/>
  </cols>
  <sheetData>
    <row r="1" spans="1:13" ht="21.6" x14ac:dyDescent="0.55000000000000004">
      <c r="A1" s="93" t="s">
        <v>130</v>
      </c>
      <c r="I1" s="93"/>
    </row>
    <row r="2" spans="1:13" x14ac:dyDescent="0.5">
      <c r="A2" s="67" t="s">
        <v>114</v>
      </c>
      <c r="B2" s="75" t="s">
        <v>115</v>
      </c>
      <c r="D2" s="75" t="s">
        <v>116</v>
      </c>
      <c r="F2" s="75" t="s">
        <v>117</v>
      </c>
      <c r="H2" s="75" t="s">
        <v>118</v>
      </c>
      <c r="J2" s="71"/>
      <c r="K2" s="75" t="s">
        <v>119</v>
      </c>
      <c r="L2" s="71"/>
    </row>
    <row r="3" spans="1:13" x14ac:dyDescent="0.5">
      <c r="A3" s="105">
        <v>44927</v>
      </c>
      <c r="B3" s="95"/>
      <c r="C3" s="95"/>
      <c r="D3" s="95"/>
      <c r="E3" s="95"/>
      <c r="F3" s="95">
        <v>0</v>
      </c>
      <c r="H3" s="71"/>
      <c r="I3" s="71"/>
      <c r="J3" s="71"/>
      <c r="K3" s="71" t="s">
        <v>127</v>
      </c>
      <c r="L3" s="71"/>
      <c r="M3" s="71"/>
    </row>
    <row r="4" spans="1:13" x14ac:dyDescent="0.5">
      <c r="A4" s="124">
        <v>44986</v>
      </c>
      <c r="B4" s="95">
        <v>30000</v>
      </c>
      <c r="C4" s="95"/>
      <c r="D4" s="95"/>
      <c r="E4" s="95"/>
      <c r="F4" s="95">
        <f>F3+B4-D4</f>
        <v>30000</v>
      </c>
      <c r="H4" s="106" t="s">
        <v>131</v>
      </c>
      <c r="I4" s="71"/>
      <c r="J4" s="71"/>
      <c r="K4" s="71" t="s">
        <v>129</v>
      </c>
      <c r="L4" s="71"/>
      <c r="M4" s="71"/>
    </row>
    <row r="5" spans="1:13" x14ac:dyDescent="0.5">
      <c r="A5" s="105">
        <v>45383</v>
      </c>
      <c r="B5" s="95">
        <v>997.47</v>
      </c>
      <c r="C5" s="95"/>
      <c r="D5" s="95"/>
      <c r="E5" s="95"/>
      <c r="F5" s="95">
        <f t="shared" ref="F5:F15" si="0">F4+B5-D5</f>
        <v>30997.47</v>
      </c>
      <c r="H5" s="71" t="s">
        <v>137</v>
      </c>
      <c r="I5" s="71"/>
      <c r="J5" s="71"/>
      <c r="K5" s="71" t="s">
        <v>128</v>
      </c>
      <c r="L5" s="71"/>
      <c r="M5" s="71"/>
    </row>
    <row r="6" spans="1:13" x14ac:dyDescent="0.5">
      <c r="A6" s="105">
        <v>45386</v>
      </c>
      <c r="B6" s="95"/>
      <c r="C6" s="95"/>
      <c r="D6" s="95">
        <v>30997.47</v>
      </c>
      <c r="E6" s="95"/>
      <c r="F6" s="95">
        <f t="shared" si="0"/>
        <v>0</v>
      </c>
      <c r="H6" s="71" t="s">
        <v>138</v>
      </c>
      <c r="I6" s="71"/>
      <c r="J6" s="71"/>
      <c r="K6" s="71"/>
      <c r="L6" s="71"/>
      <c r="M6" s="71"/>
    </row>
    <row r="7" spans="1:13" x14ac:dyDescent="0.5">
      <c r="A7" s="105">
        <v>45386</v>
      </c>
      <c r="B7" s="95">
        <v>45000</v>
      </c>
      <c r="C7" s="95"/>
      <c r="D7" s="95"/>
      <c r="E7" s="95"/>
      <c r="F7" s="95">
        <f t="shared" si="0"/>
        <v>45000</v>
      </c>
      <c r="H7" s="71" t="s">
        <v>139</v>
      </c>
      <c r="I7" s="71"/>
      <c r="J7" s="71"/>
      <c r="L7" s="71"/>
      <c r="M7" s="71"/>
    </row>
    <row r="8" spans="1:13" x14ac:dyDescent="0.5">
      <c r="A8" s="105">
        <v>45508</v>
      </c>
      <c r="B8" s="95">
        <v>732.3</v>
      </c>
      <c r="C8" s="95"/>
      <c r="D8" s="95"/>
      <c r="E8" s="95"/>
      <c r="F8" s="95">
        <f t="shared" si="0"/>
        <v>45732.3</v>
      </c>
      <c r="H8" s="71" t="s">
        <v>137</v>
      </c>
      <c r="I8" s="71"/>
      <c r="J8" s="71"/>
      <c r="K8" s="71" t="s">
        <v>128</v>
      </c>
      <c r="L8" s="71"/>
      <c r="M8" s="71"/>
    </row>
    <row r="9" spans="1:13" x14ac:dyDescent="0.5">
      <c r="A9" s="105">
        <v>45508</v>
      </c>
      <c r="B9" s="95">
        <v>0</v>
      </c>
      <c r="C9" s="95"/>
      <c r="D9" s="95">
        <v>0</v>
      </c>
      <c r="E9" s="95"/>
      <c r="F9" s="95">
        <f t="shared" si="0"/>
        <v>45732.3</v>
      </c>
      <c r="H9" s="71" t="s">
        <v>137</v>
      </c>
      <c r="I9" s="71"/>
      <c r="J9" s="71"/>
      <c r="K9" s="71" t="s">
        <v>143</v>
      </c>
      <c r="L9" s="71"/>
      <c r="M9" s="71"/>
    </row>
    <row r="10" spans="1:13" x14ac:dyDescent="0.5">
      <c r="A10" s="105">
        <v>45693</v>
      </c>
      <c r="B10" s="95">
        <v>1115.82</v>
      </c>
      <c r="C10" s="116"/>
      <c r="D10" s="95"/>
      <c r="E10" s="95"/>
      <c r="F10" s="95">
        <f t="shared" si="0"/>
        <v>46848.12</v>
      </c>
      <c r="H10" s="71" t="s">
        <v>159</v>
      </c>
      <c r="I10" s="71"/>
      <c r="J10" s="71"/>
      <c r="K10" s="71" t="s">
        <v>160</v>
      </c>
      <c r="L10" s="71"/>
      <c r="M10" s="71"/>
    </row>
    <row r="11" spans="1:13" x14ac:dyDescent="0.5">
      <c r="A11" s="105">
        <v>45699</v>
      </c>
      <c r="B11" s="125">
        <v>13888</v>
      </c>
      <c r="C11" s="116"/>
      <c r="D11" s="95"/>
      <c r="E11" s="95"/>
      <c r="F11" s="95">
        <f t="shared" si="0"/>
        <v>60736.12</v>
      </c>
      <c r="H11" s="71" t="s">
        <v>161</v>
      </c>
      <c r="I11" s="71"/>
      <c r="J11" s="71"/>
      <c r="K11" s="71" t="s">
        <v>156</v>
      </c>
      <c r="L11" s="71"/>
      <c r="M11" s="71"/>
    </row>
    <row r="12" spans="1:13" x14ac:dyDescent="0.5">
      <c r="A12" s="105"/>
      <c r="B12" s="95"/>
      <c r="C12" s="95"/>
      <c r="D12" s="95"/>
      <c r="E12" s="95"/>
      <c r="F12" s="95">
        <f t="shared" si="0"/>
        <v>60736.12</v>
      </c>
      <c r="H12" s="71"/>
      <c r="I12" s="71"/>
      <c r="J12" s="71"/>
      <c r="K12" s="71"/>
      <c r="L12" s="71"/>
      <c r="M12" s="71"/>
    </row>
    <row r="13" spans="1:13" x14ac:dyDescent="0.5">
      <c r="A13" s="105"/>
      <c r="B13" s="95"/>
      <c r="C13" s="95"/>
      <c r="D13" s="95"/>
      <c r="E13" s="95"/>
      <c r="F13" s="95">
        <f t="shared" si="0"/>
        <v>60736.12</v>
      </c>
      <c r="H13" s="71"/>
      <c r="I13" s="71"/>
      <c r="J13" s="71"/>
      <c r="K13" s="71"/>
      <c r="L13" s="71"/>
      <c r="M13" s="71"/>
    </row>
    <row r="14" spans="1:13" x14ac:dyDescent="0.5">
      <c r="A14" s="105"/>
      <c r="B14" s="95"/>
      <c r="C14" s="95"/>
      <c r="D14" s="95"/>
      <c r="E14" s="95"/>
      <c r="F14" s="95">
        <f t="shared" si="0"/>
        <v>60736.12</v>
      </c>
      <c r="H14" s="71"/>
      <c r="I14" s="71"/>
      <c r="J14" s="71"/>
      <c r="K14" s="71"/>
      <c r="L14" s="71"/>
      <c r="M14" s="71"/>
    </row>
    <row r="15" spans="1:13" x14ac:dyDescent="0.5">
      <c r="A15" s="105"/>
      <c r="B15" s="95"/>
      <c r="C15" s="95"/>
      <c r="D15" s="95"/>
      <c r="E15" s="95"/>
      <c r="F15" s="95">
        <f t="shared" si="0"/>
        <v>60736.12</v>
      </c>
      <c r="H15" s="71"/>
      <c r="I15" s="71"/>
      <c r="J15" s="71"/>
      <c r="K15" s="71"/>
      <c r="L15" s="71"/>
      <c r="M15" s="71"/>
    </row>
    <row r="16" spans="1:13" x14ac:dyDescent="0.5">
      <c r="A16" s="105"/>
    </row>
    <row r="17" spans="1:1" x14ac:dyDescent="0.5">
      <c r="A17" s="105"/>
    </row>
    <row r="18" spans="1:1" x14ac:dyDescent="0.5">
      <c r="A18" s="105"/>
    </row>
    <row r="19" spans="1:1" x14ac:dyDescent="0.5">
      <c r="A19" s="10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8C193-8606-43BA-AF72-09268F2F9012}">
  <sheetPr codeName="Sheet6">
    <tabColor theme="7" tint="0.39997558519241921"/>
  </sheetPr>
  <dimension ref="A1:I32"/>
  <sheetViews>
    <sheetView workbookViewId="0"/>
  </sheetViews>
  <sheetFormatPr defaultRowHeight="18" x14ac:dyDescent="0.5"/>
  <cols>
    <col min="1" max="1" width="30.77734375" customWidth="1"/>
    <col min="2" max="10" width="11" bestFit="1" customWidth="1"/>
    <col min="11" max="11" width="9.21875" bestFit="1" customWidth="1"/>
  </cols>
  <sheetData>
    <row r="1" spans="1:9" ht="21.6" x14ac:dyDescent="0.55000000000000004">
      <c r="C1" s="82" t="s">
        <v>57</v>
      </c>
    </row>
    <row r="3" spans="1:9" x14ac:dyDescent="0.5">
      <c r="A3" t="s">
        <v>109</v>
      </c>
      <c r="B3">
        <v>2022</v>
      </c>
      <c r="C3">
        <f>B3+1</f>
        <v>2023</v>
      </c>
      <c r="D3">
        <f t="shared" ref="D3:I3" si="0">C3+1</f>
        <v>2024</v>
      </c>
      <c r="E3">
        <f t="shared" si="0"/>
        <v>2025</v>
      </c>
      <c r="F3">
        <f t="shared" si="0"/>
        <v>2026</v>
      </c>
      <c r="G3">
        <f t="shared" si="0"/>
        <v>2027</v>
      </c>
      <c r="H3">
        <f t="shared" si="0"/>
        <v>2028</v>
      </c>
      <c r="I3">
        <f t="shared" si="0"/>
        <v>2029</v>
      </c>
    </row>
    <row r="4" spans="1:9" x14ac:dyDescent="0.5">
      <c r="A4" t="s">
        <v>58</v>
      </c>
      <c r="B4" s="68">
        <v>6559</v>
      </c>
      <c r="C4" s="68" t="s">
        <v>61</v>
      </c>
      <c r="D4" s="68" t="s">
        <v>61</v>
      </c>
      <c r="E4" s="68" t="s">
        <v>61</v>
      </c>
      <c r="F4" s="68" t="s">
        <v>61</v>
      </c>
      <c r="G4" s="68" t="s">
        <v>61</v>
      </c>
      <c r="H4" s="68" t="s">
        <v>61</v>
      </c>
      <c r="I4" s="68" t="s">
        <v>61</v>
      </c>
    </row>
    <row r="5" spans="1:9" x14ac:dyDescent="0.5">
      <c r="A5" t="s">
        <v>60</v>
      </c>
      <c r="B5" s="68">
        <v>0</v>
      </c>
      <c r="C5" s="68">
        <f>B8</f>
        <v>18559</v>
      </c>
      <c r="D5" s="68">
        <f t="shared" ref="D5:I5" si="1">C8</f>
        <v>30919</v>
      </c>
      <c r="E5" s="68">
        <f t="shared" si="1"/>
        <v>44020.6</v>
      </c>
      <c r="F5" s="68">
        <f t="shared" si="1"/>
        <v>57908.296000000002</v>
      </c>
      <c r="G5" s="68">
        <f t="shared" si="1"/>
        <v>72629.253760000007</v>
      </c>
      <c r="H5" s="68">
        <f t="shared" si="1"/>
        <v>88233.468985600019</v>
      </c>
      <c r="I5" s="68">
        <f t="shared" si="1"/>
        <v>104773.93712473602</v>
      </c>
    </row>
    <row r="6" spans="1:9" x14ac:dyDescent="0.5">
      <c r="A6" t="s">
        <v>108</v>
      </c>
      <c r="B6" s="70">
        <v>12000</v>
      </c>
      <c r="C6" s="91">
        <f>B6*(1+0.03)</f>
        <v>12360</v>
      </c>
      <c r="D6" s="91">
        <f>C6*(1+D9)</f>
        <v>13101.6</v>
      </c>
      <c r="E6" s="91">
        <f>D6*(1+E9)</f>
        <v>13887.696000000002</v>
      </c>
      <c r="F6" s="91">
        <f>E6*(1+B31)</f>
        <v>14720.957760000003</v>
      </c>
      <c r="G6" s="91">
        <f>F6*(1+B31)</f>
        <v>15604.215225600004</v>
      </c>
      <c r="H6" s="91">
        <f>G6*(1+B31)</f>
        <v>16540.468139136006</v>
      </c>
      <c r="I6" s="91">
        <f>H6*(1+B31)</f>
        <v>17532.896227484169</v>
      </c>
    </row>
    <row r="7" spans="1:9" x14ac:dyDescent="0.5">
      <c r="A7" t="s">
        <v>59</v>
      </c>
      <c r="B7" s="70">
        <v>0</v>
      </c>
      <c r="C7" s="70">
        <v>0</v>
      </c>
      <c r="D7" s="70">
        <v>0</v>
      </c>
      <c r="E7" s="70">
        <v>0</v>
      </c>
      <c r="F7" s="70">
        <v>0</v>
      </c>
      <c r="G7" s="70">
        <v>0</v>
      </c>
      <c r="H7" s="70">
        <v>0</v>
      </c>
      <c r="I7" s="70">
        <v>0</v>
      </c>
    </row>
    <row r="8" spans="1:9" x14ac:dyDescent="0.5">
      <c r="A8" s="67" t="s">
        <v>111</v>
      </c>
      <c r="B8" s="69">
        <f>B4+B5+B6-B7</f>
        <v>18559</v>
      </c>
      <c r="C8" s="69">
        <f t="shared" ref="C8:I8" si="2">C5+C6-C7</f>
        <v>30919</v>
      </c>
      <c r="D8" s="69">
        <f t="shared" si="2"/>
        <v>44020.6</v>
      </c>
      <c r="E8" s="69">
        <f t="shared" si="2"/>
        <v>57908.296000000002</v>
      </c>
      <c r="F8" s="69">
        <f t="shared" si="2"/>
        <v>72629.253760000007</v>
      </c>
      <c r="G8" s="69">
        <f t="shared" si="2"/>
        <v>88233.468985600019</v>
      </c>
      <c r="H8" s="69">
        <f t="shared" si="2"/>
        <v>104773.93712473602</v>
      </c>
      <c r="I8" s="69">
        <f t="shared" si="2"/>
        <v>122306.83335222019</v>
      </c>
    </row>
    <row r="9" spans="1:9" x14ac:dyDescent="0.5">
      <c r="A9" s="89" t="s">
        <v>110</v>
      </c>
      <c r="B9" s="107">
        <v>0</v>
      </c>
      <c r="C9" s="107">
        <v>0.03</v>
      </c>
      <c r="D9" s="107">
        <v>0.06</v>
      </c>
      <c r="E9" s="107">
        <v>0.06</v>
      </c>
      <c r="F9" s="107"/>
      <c r="G9" s="107"/>
      <c r="H9" s="107"/>
      <c r="I9" s="107"/>
    </row>
    <row r="10" spans="1:9" x14ac:dyDescent="0.5">
      <c r="A10" t="s">
        <v>109</v>
      </c>
      <c r="B10">
        <f>I3+1</f>
        <v>2030</v>
      </c>
      <c r="C10">
        <f t="shared" ref="C10:I10" si="3">B10+1</f>
        <v>2031</v>
      </c>
      <c r="D10">
        <f t="shared" si="3"/>
        <v>2032</v>
      </c>
      <c r="E10">
        <f t="shared" si="3"/>
        <v>2033</v>
      </c>
      <c r="F10">
        <f t="shared" si="3"/>
        <v>2034</v>
      </c>
      <c r="G10">
        <f t="shared" si="3"/>
        <v>2035</v>
      </c>
      <c r="H10">
        <f t="shared" si="3"/>
        <v>2036</v>
      </c>
      <c r="I10">
        <f t="shared" si="3"/>
        <v>2037</v>
      </c>
    </row>
    <row r="11" spans="1:9" x14ac:dyDescent="0.5">
      <c r="A11" t="s">
        <v>58</v>
      </c>
      <c r="B11" s="68" t="s">
        <v>61</v>
      </c>
      <c r="C11" s="68" t="s">
        <v>61</v>
      </c>
      <c r="D11" s="68" t="s">
        <v>61</v>
      </c>
      <c r="E11" s="68" t="s">
        <v>61</v>
      </c>
      <c r="F11" s="68" t="s">
        <v>61</v>
      </c>
      <c r="G11" s="68" t="s">
        <v>61</v>
      </c>
      <c r="H11" s="68" t="s">
        <v>61</v>
      </c>
      <c r="I11" s="68" t="s">
        <v>61</v>
      </c>
    </row>
    <row r="12" spans="1:9" x14ac:dyDescent="0.5">
      <c r="A12" t="s">
        <v>60</v>
      </c>
      <c r="B12" s="68">
        <f>I8</f>
        <v>122306.83335222019</v>
      </c>
      <c r="C12" s="68">
        <f t="shared" ref="C12:I12" si="4">B15</f>
        <v>140891.7033533534</v>
      </c>
      <c r="D12" s="68">
        <f t="shared" si="4"/>
        <v>160591.66555455461</v>
      </c>
      <c r="E12" s="68">
        <f t="shared" si="4"/>
        <v>181473.6254878279</v>
      </c>
      <c r="F12" s="68">
        <f t="shared" si="4"/>
        <v>203608.5030170976</v>
      </c>
      <c r="G12" s="68">
        <f t="shared" si="4"/>
        <v>227071.47319812345</v>
      </c>
      <c r="H12" s="68">
        <f t="shared" si="4"/>
        <v>251942.22159001086</v>
      </c>
      <c r="I12" s="68">
        <f t="shared" si="4"/>
        <v>278305.21488541155</v>
      </c>
    </row>
    <row r="13" spans="1:9" x14ac:dyDescent="0.5">
      <c r="A13" t="s">
        <v>108</v>
      </c>
      <c r="B13" s="91">
        <f>I6*(1+B31)</f>
        <v>18584.870001133218</v>
      </c>
      <c r="C13" s="91">
        <f>B13*(1+B31)</f>
        <v>19699.962201201211</v>
      </c>
      <c r="D13" s="91">
        <f>C13*(1+B31)</f>
        <v>20881.959933273287</v>
      </c>
      <c r="E13" s="91">
        <f>D13*(1+B31)</f>
        <v>22134.877529269685</v>
      </c>
      <c r="F13" s="91">
        <f>E13*(1+B31)</f>
        <v>23462.970181025867</v>
      </c>
      <c r="G13" s="91">
        <f>F13*(1+B31)</f>
        <v>24870.74839188742</v>
      </c>
      <c r="H13" s="91">
        <f>G13*(1+B31)</f>
        <v>26362.993295400665</v>
      </c>
      <c r="I13" s="91">
        <f>H13*(1+B31)</f>
        <v>27944.772893124707</v>
      </c>
    </row>
    <row r="14" spans="1:9" x14ac:dyDescent="0.5">
      <c r="A14" t="s">
        <v>59</v>
      </c>
      <c r="B14" s="70">
        <v>0</v>
      </c>
      <c r="C14" s="70">
        <v>0</v>
      </c>
      <c r="D14" s="70">
        <v>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</row>
    <row r="15" spans="1:9" x14ac:dyDescent="0.5">
      <c r="A15" s="67" t="s">
        <v>111</v>
      </c>
      <c r="B15" s="69">
        <f t="shared" ref="B15:I15" si="5">B12+B13-B14</f>
        <v>140891.7033533534</v>
      </c>
      <c r="C15" s="69">
        <f t="shared" si="5"/>
        <v>160591.66555455461</v>
      </c>
      <c r="D15" s="69">
        <f t="shared" si="5"/>
        <v>181473.6254878279</v>
      </c>
      <c r="E15" s="69">
        <f t="shared" si="5"/>
        <v>203608.5030170976</v>
      </c>
      <c r="F15" s="69">
        <f t="shared" si="5"/>
        <v>227071.47319812345</v>
      </c>
      <c r="G15" s="69">
        <f t="shared" si="5"/>
        <v>251942.22159001086</v>
      </c>
      <c r="H15" s="69">
        <f t="shared" si="5"/>
        <v>278305.21488541155</v>
      </c>
      <c r="I15" s="69">
        <f t="shared" si="5"/>
        <v>306249.98777853628</v>
      </c>
    </row>
    <row r="16" spans="1:9" x14ac:dyDescent="0.5">
      <c r="A16" s="89" t="s">
        <v>110</v>
      </c>
    </row>
    <row r="17" spans="1:9" x14ac:dyDescent="0.5">
      <c r="A17" t="s">
        <v>109</v>
      </c>
      <c r="B17">
        <f>I10+1</f>
        <v>2038</v>
      </c>
      <c r="C17">
        <f>B17+1</f>
        <v>2039</v>
      </c>
      <c r="D17">
        <f>C17+1</f>
        <v>2040</v>
      </c>
      <c r="E17">
        <f>D17+1</f>
        <v>2041</v>
      </c>
      <c r="F17">
        <f t="shared" ref="F17:I17" si="6">E17+1</f>
        <v>2042</v>
      </c>
      <c r="G17">
        <f t="shared" si="6"/>
        <v>2043</v>
      </c>
      <c r="H17">
        <f t="shared" si="6"/>
        <v>2044</v>
      </c>
      <c r="I17">
        <f t="shared" si="6"/>
        <v>2045</v>
      </c>
    </row>
    <row r="18" spans="1:9" x14ac:dyDescent="0.5">
      <c r="A18" t="s">
        <v>58</v>
      </c>
      <c r="B18" s="68" t="s">
        <v>61</v>
      </c>
      <c r="C18" s="68" t="s">
        <v>61</v>
      </c>
      <c r="D18" s="68" t="s">
        <v>61</v>
      </c>
      <c r="E18" s="68" t="s">
        <v>61</v>
      </c>
      <c r="F18" s="68" t="s">
        <v>61</v>
      </c>
      <c r="G18" s="68" t="s">
        <v>61</v>
      </c>
      <c r="H18" s="68" t="s">
        <v>61</v>
      </c>
      <c r="I18" s="68" t="s">
        <v>61</v>
      </c>
    </row>
    <row r="19" spans="1:9" x14ac:dyDescent="0.5">
      <c r="A19" t="s">
        <v>60</v>
      </c>
      <c r="B19" s="68">
        <f>I15</f>
        <v>306249.98777853628</v>
      </c>
      <c r="C19" s="68">
        <f>B22</f>
        <v>335871.44704524847</v>
      </c>
      <c r="D19" s="68">
        <f>C22</f>
        <v>367270.19386796339</v>
      </c>
      <c r="E19" s="68">
        <f>D22</f>
        <v>400552.86550004123</v>
      </c>
      <c r="F19" s="68">
        <f t="shared" ref="F19:I19" si="7">E22</f>
        <v>435832.4974300437</v>
      </c>
      <c r="G19" s="68">
        <f t="shared" si="7"/>
        <v>473228.90727584634</v>
      </c>
      <c r="H19" s="68">
        <f t="shared" si="7"/>
        <v>512869.10171239713</v>
      </c>
      <c r="I19" s="68">
        <f t="shared" si="7"/>
        <v>554887.70781514095</v>
      </c>
    </row>
    <row r="20" spans="1:9" x14ac:dyDescent="0.5">
      <c r="A20" t="s">
        <v>108</v>
      </c>
      <c r="B20" s="91">
        <f>I13*(1+B31)</f>
        <v>29621.459266712191</v>
      </c>
      <c r="C20" s="91">
        <f>B20*(1+B31)</f>
        <v>31398.746822714922</v>
      </c>
      <c r="D20" s="91">
        <f>C20*(1+B31)</f>
        <v>33282.671632077821</v>
      </c>
      <c r="E20" s="91">
        <f>D20*(1+B31)</f>
        <v>35279.631930002492</v>
      </c>
      <c r="F20" s="91">
        <f>E20*(1+B31)</f>
        <v>37396.409845802642</v>
      </c>
      <c r="G20" s="91">
        <f>F20*(1+B31)</f>
        <v>39640.194436550802</v>
      </c>
      <c r="H20" s="91">
        <f>G20*(1+B31)</f>
        <v>42018.606102743855</v>
      </c>
      <c r="I20" s="91">
        <f>H20*(1+B31)</f>
        <v>44539.722468908491</v>
      </c>
    </row>
    <row r="21" spans="1:9" x14ac:dyDescent="0.5">
      <c r="A21" t="s">
        <v>59</v>
      </c>
      <c r="B21" s="70">
        <v>0</v>
      </c>
      <c r="C21" s="70">
        <v>0</v>
      </c>
      <c r="D21" s="70">
        <v>0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</row>
    <row r="22" spans="1:9" x14ac:dyDescent="0.5">
      <c r="A22" s="67" t="s">
        <v>111</v>
      </c>
      <c r="B22" s="69">
        <f>B19+B20-B21</f>
        <v>335871.44704524847</v>
      </c>
      <c r="C22" s="69">
        <f>C19+C20-C21</f>
        <v>367270.19386796339</v>
      </c>
      <c r="D22" s="69">
        <f>D19+D20-D21</f>
        <v>400552.86550004123</v>
      </c>
      <c r="E22" s="69">
        <f t="shared" ref="E22" si="8">E19+E20-E21</f>
        <v>435832.4974300437</v>
      </c>
      <c r="F22" s="69">
        <f t="shared" ref="F22" si="9">F19+F20-F21</f>
        <v>473228.90727584634</v>
      </c>
      <c r="G22" s="69">
        <f t="shared" ref="G22" si="10">G19+G20-G21</f>
        <v>512869.10171239713</v>
      </c>
      <c r="H22" s="69">
        <f t="shared" ref="H22" si="11">H19+H20-H21</f>
        <v>554887.70781514095</v>
      </c>
      <c r="I22" s="69">
        <f t="shared" ref="I22" si="12">I19+I20-I21</f>
        <v>599427.43028404948</v>
      </c>
    </row>
    <row r="23" spans="1:9" x14ac:dyDescent="0.5">
      <c r="A23" s="89" t="s">
        <v>110</v>
      </c>
    </row>
    <row r="24" spans="1:9" x14ac:dyDescent="0.5">
      <c r="A24" t="s">
        <v>109</v>
      </c>
      <c r="B24">
        <f>I17+1</f>
        <v>2046</v>
      </c>
      <c r="C24">
        <f>B24+1</f>
        <v>2047</v>
      </c>
      <c r="D24">
        <f>C24+1</f>
        <v>2048</v>
      </c>
      <c r="E24">
        <f>D24+1</f>
        <v>2049</v>
      </c>
      <c r="F24">
        <f>E24+1</f>
        <v>2050</v>
      </c>
      <c r="G24">
        <f t="shared" ref="G24" si="13">F24+1</f>
        <v>2051</v>
      </c>
    </row>
    <row r="25" spans="1:9" x14ac:dyDescent="0.5">
      <c r="A25" t="s">
        <v>58</v>
      </c>
      <c r="B25" s="68" t="s">
        <v>61</v>
      </c>
      <c r="C25" s="68" t="s">
        <v>61</v>
      </c>
      <c r="D25" s="68" t="s">
        <v>61</v>
      </c>
      <c r="E25" s="68" t="s">
        <v>61</v>
      </c>
      <c r="F25" s="68" t="s">
        <v>61</v>
      </c>
      <c r="G25" s="68" t="s">
        <v>61</v>
      </c>
    </row>
    <row r="26" spans="1:9" x14ac:dyDescent="0.5">
      <c r="A26" t="s">
        <v>60</v>
      </c>
      <c r="B26" s="68">
        <f>I22</f>
        <v>599427.43028404948</v>
      </c>
      <c r="C26" s="68">
        <f>B29</f>
        <v>646639.53610109247</v>
      </c>
      <c r="D26" s="68">
        <f>C29</f>
        <v>696684.36826715805</v>
      </c>
      <c r="E26" s="68">
        <f>D29</f>
        <v>749731.89036318753</v>
      </c>
      <c r="F26" s="68">
        <f>E29</f>
        <v>805962.26378497877</v>
      </c>
      <c r="G26" s="68">
        <f t="shared" ref="G26" si="14">F29</f>
        <v>865566.45961207757</v>
      </c>
    </row>
    <row r="27" spans="1:9" x14ac:dyDescent="0.5">
      <c r="A27" t="s">
        <v>108</v>
      </c>
      <c r="B27" s="91">
        <f>I20*(1+B31)</f>
        <v>47212.105817043004</v>
      </c>
      <c r="C27" s="91">
        <f>B27*(1+B31)</f>
        <v>50044.832166065586</v>
      </c>
      <c r="D27" s="91">
        <f>C27*(1+B31)</f>
        <v>53047.522096029526</v>
      </c>
      <c r="E27" s="91">
        <f>D27*(1+B31)</f>
        <v>56230.373421791301</v>
      </c>
      <c r="F27" s="91">
        <f>E27*(1+B31)</f>
        <v>59604.195827098782</v>
      </c>
      <c r="G27" s="91">
        <f>F27*(1+B31)</f>
        <v>63180.447576724713</v>
      </c>
    </row>
    <row r="28" spans="1:9" x14ac:dyDescent="0.5">
      <c r="A28" t="s">
        <v>59</v>
      </c>
      <c r="B28" s="70">
        <v>0</v>
      </c>
      <c r="C28" s="70">
        <v>0</v>
      </c>
      <c r="D28" s="70">
        <v>0</v>
      </c>
      <c r="E28" s="70">
        <v>0</v>
      </c>
      <c r="F28" s="70">
        <v>0</v>
      </c>
      <c r="G28" s="70">
        <v>0</v>
      </c>
    </row>
    <row r="29" spans="1:9" x14ac:dyDescent="0.5">
      <c r="A29" s="67" t="s">
        <v>111</v>
      </c>
      <c r="B29" s="69">
        <f>B26+B27-B28</f>
        <v>646639.53610109247</v>
      </c>
      <c r="C29" s="69">
        <f>C26+C27-C28</f>
        <v>696684.36826715805</v>
      </c>
      <c r="D29" s="69">
        <f>D26+D27-D28</f>
        <v>749731.89036318753</v>
      </c>
      <c r="E29" s="69">
        <f>E26+E27-E28</f>
        <v>805962.26378497877</v>
      </c>
      <c r="F29" s="69">
        <f t="shared" ref="F29" si="15">F26+F27-F28</f>
        <v>865566.45961207757</v>
      </c>
      <c r="G29" s="69">
        <f t="shared" ref="G29" si="16">G26+G27-G28</f>
        <v>928746.90718880226</v>
      </c>
    </row>
    <row r="30" spans="1:9" x14ac:dyDescent="0.5">
      <c r="A30" s="89" t="s">
        <v>110</v>
      </c>
    </row>
    <row r="31" spans="1:9" x14ac:dyDescent="0.5">
      <c r="A31" s="89" t="s">
        <v>110</v>
      </c>
      <c r="B31" s="90">
        <v>0.06</v>
      </c>
    </row>
    <row r="32" spans="1:9" ht="36" x14ac:dyDescent="0.5">
      <c r="A32" t="s">
        <v>112</v>
      </c>
    </row>
  </sheetData>
  <pageMargins left="0.7" right="0.7" top="0.75" bottom="0.75" header="0.3" footer="0.3"/>
  <pageSetup orientation="landscape" horizontalDpi="0" verticalDpi="0" r:id="rId1"/>
  <ignoredErrors>
    <ignoredError sqref="C8" formula="1"/>
    <ignoredError sqref="C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063FE-4926-411E-B74F-6A4FD37F3B85}">
  <sheetPr codeName="Sheet7">
    <tabColor theme="7" tint="0.39997558519241921"/>
  </sheetPr>
  <dimension ref="A1:J81"/>
  <sheetViews>
    <sheetView workbookViewId="0">
      <selection activeCell="B2" sqref="B2"/>
    </sheetView>
  </sheetViews>
  <sheetFormatPr defaultRowHeight="18" x14ac:dyDescent="0.5"/>
  <cols>
    <col min="8" max="8" width="11.77734375" bestFit="1" customWidth="1"/>
    <col min="10" max="10" width="10.109375" bestFit="1" customWidth="1"/>
  </cols>
  <sheetData>
    <row r="1" spans="1:9" ht="27" x14ac:dyDescent="0.65">
      <c r="B1" s="101"/>
      <c r="D1" s="73" t="s">
        <v>63</v>
      </c>
    </row>
    <row r="2" spans="1:9" ht="21.6" x14ac:dyDescent="0.55000000000000004">
      <c r="D2" s="77" t="s">
        <v>62</v>
      </c>
    </row>
    <row r="3" spans="1:9" x14ac:dyDescent="0.5">
      <c r="D3" s="72" t="s">
        <v>144</v>
      </c>
      <c r="F3" s="112"/>
    </row>
    <row r="4" spans="1:9" ht="19.2" x14ac:dyDescent="0.5">
      <c r="A4" s="76" t="s">
        <v>64</v>
      </c>
      <c r="H4" s="74"/>
    </row>
    <row r="5" spans="1:9" x14ac:dyDescent="0.5">
      <c r="B5" s="75" t="s">
        <v>65</v>
      </c>
      <c r="H5" s="78"/>
    </row>
    <row r="6" spans="1:9" x14ac:dyDescent="0.5">
      <c r="B6" s="92" t="s">
        <v>66</v>
      </c>
      <c r="H6" s="78"/>
    </row>
    <row r="7" spans="1:9" x14ac:dyDescent="0.5">
      <c r="B7" s="71"/>
      <c r="C7" s="71" t="s">
        <v>140</v>
      </c>
      <c r="H7" s="79">
        <v>1009</v>
      </c>
      <c r="I7" s="71"/>
    </row>
    <row r="8" spans="1:9" x14ac:dyDescent="0.5">
      <c r="B8" s="92" t="s">
        <v>67</v>
      </c>
      <c r="H8" s="79"/>
    </row>
    <row r="9" spans="1:9" x14ac:dyDescent="0.5">
      <c r="C9" s="71" t="s">
        <v>141</v>
      </c>
      <c r="H9" s="79">
        <f>Savings!I50</f>
        <v>120.97</v>
      </c>
    </row>
    <row r="10" spans="1:9" x14ac:dyDescent="0.5">
      <c r="C10" s="71" t="s">
        <v>142</v>
      </c>
      <c r="H10" s="79">
        <f>CD!F9</f>
        <v>45732.3</v>
      </c>
    </row>
    <row r="11" spans="1:9" x14ac:dyDescent="0.5">
      <c r="C11" s="71" t="s">
        <v>0</v>
      </c>
      <c r="H11" s="79">
        <v>0</v>
      </c>
    </row>
    <row r="12" spans="1:9" x14ac:dyDescent="0.5">
      <c r="B12" s="75" t="s">
        <v>68</v>
      </c>
      <c r="H12" s="79">
        <f>H7+H9+H10+H11</f>
        <v>46862.270000000004</v>
      </c>
    </row>
    <row r="13" spans="1:9" x14ac:dyDescent="0.5">
      <c r="B13" s="75" t="s">
        <v>69</v>
      </c>
      <c r="H13" s="79"/>
    </row>
    <row r="14" spans="1:9" x14ac:dyDescent="0.5">
      <c r="C14" s="71" t="s">
        <v>134</v>
      </c>
      <c r="H14" s="79">
        <v>0</v>
      </c>
    </row>
    <row r="15" spans="1:9" x14ac:dyDescent="0.5">
      <c r="C15" s="71" t="s">
        <v>70</v>
      </c>
      <c r="H15" s="79">
        <v>0</v>
      </c>
    </row>
    <row r="16" spans="1:9" x14ac:dyDescent="0.5">
      <c r="C16" s="71" t="s">
        <v>136</v>
      </c>
      <c r="H16" s="79">
        <v>0</v>
      </c>
    </row>
    <row r="17" spans="1:9" x14ac:dyDescent="0.5">
      <c r="B17" s="75" t="s">
        <v>71</v>
      </c>
      <c r="C17" s="71"/>
      <c r="H17" s="79">
        <f>H14+H15+H16</f>
        <v>0</v>
      </c>
    </row>
    <row r="18" spans="1:9" x14ac:dyDescent="0.5">
      <c r="B18" s="75" t="s">
        <v>86</v>
      </c>
      <c r="H18" s="79">
        <f>H12+H17</f>
        <v>46862.270000000004</v>
      </c>
    </row>
    <row r="19" spans="1:9" ht="19.2" x14ac:dyDescent="0.5">
      <c r="A19" s="76" t="s">
        <v>72</v>
      </c>
      <c r="B19" s="71"/>
      <c r="H19" s="81">
        <f>H18</f>
        <v>46862.270000000004</v>
      </c>
    </row>
    <row r="20" spans="1:9" x14ac:dyDescent="0.5">
      <c r="H20" s="79"/>
    </row>
    <row r="21" spans="1:9" ht="19.2" x14ac:dyDescent="0.5">
      <c r="A21" s="76" t="s">
        <v>87</v>
      </c>
      <c r="H21" s="79"/>
    </row>
    <row r="22" spans="1:9" x14ac:dyDescent="0.5">
      <c r="B22" s="75" t="s">
        <v>74</v>
      </c>
      <c r="H22" s="79"/>
    </row>
    <row r="23" spans="1:9" x14ac:dyDescent="0.5">
      <c r="B23" s="71" t="s">
        <v>75</v>
      </c>
      <c r="H23" s="79"/>
    </row>
    <row r="24" spans="1:9" x14ac:dyDescent="0.5">
      <c r="C24" s="71" t="s">
        <v>132</v>
      </c>
      <c r="H24" s="79">
        <v>0</v>
      </c>
    </row>
    <row r="25" spans="1:9" x14ac:dyDescent="0.5">
      <c r="C25" s="71" t="s">
        <v>0</v>
      </c>
      <c r="H25" s="79"/>
      <c r="I25" s="71"/>
    </row>
    <row r="26" spans="1:9" x14ac:dyDescent="0.5">
      <c r="B26" s="75" t="s">
        <v>76</v>
      </c>
      <c r="C26" s="71"/>
      <c r="H26" s="79">
        <f>H24+H25</f>
        <v>0</v>
      </c>
    </row>
    <row r="27" spans="1:9" x14ac:dyDescent="0.5">
      <c r="B27" s="71" t="s">
        <v>123</v>
      </c>
      <c r="H27" s="79"/>
    </row>
    <row r="28" spans="1:9" x14ac:dyDescent="0.5">
      <c r="C28" s="71" t="s">
        <v>133</v>
      </c>
      <c r="H28" s="79">
        <f>'Reserve Sch.'!D8</f>
        <v>44020.6</v>
      </c>
      <c r="I28" s="71" t="s">
        <v>57</v>
      </c>
    </row>
    <row r="29" spans="1:9" x14ac:dyDescent="0.5">
      <c r="C29" s="71" t="s">
        <v>0</v>
      </c>
      <c r="H29" s="79">
        <v>0</v>
      </c>
    </row>
    <row r="30" spans="1:9" x14ac:dyDescent="0.5">
      <c r="B30" s="75" t="s">
        <v>77</v>
      </c>
      <c r="H30" s="79">
        <f>H28+H29</f>
        <v>44020.6</v>
      </c>
    </row>
    <row r="31" spans="1:9" ht="19.2" x14ac:dyDescent="0.5">
      <c r="A31" s="76" t="s">
        <v>78</v>
      </c>
      <c r="H31" s="81">
        <v>44021</v>
      </c>
    </row>
    <row r="32" spans="1:9" x14ac:dyDescent="0.5">
      <c r="H32" s="79"/>
    </row>
    <row r="33" spans="1:10" ht="19.2" x14ac:dyDescent="0.5">
      <c r="A33" s="76" t="s">
        <v>73</v>
      </c>
      <c r="H33" s="79"/>
    </row>
    <row r="34" spans="1:10" x14ac:dyDescent="0.5">
      <c r="B34" s="71" t="s">
        <v>79</v>
      </c>
      <c r="H34" s="79">
        <v>18559</v>
      </c>
    </row>
    <row r="35" spans="1:10" x14ac:dyDescent="0.5">
      <c r="B35" s="71" t="s">
        <v>80</v>
      </c>
      <c r="H35" s="79">
        <f>'Reserve Sch.'!C6+'Reserve Sch.'!D6</f>
        <v>25461.599999999999</v>
      </c>
    </row>
    <row r="36" spans="1:10" x14ac:dyDescent="0.5">
      <c r="B36" s="75" t="s">
        <v>81</v>
      </c>
      <c r="H36" s="80">
        <f>H34+H35</f>
        <v>44020.6</v>
      </c>
    </row>
    <row r="37" spans="1:10" x14ac:dyDescent="0.5">
      <c r="B37" s="71" t="s">
        <v>122</v>
      </c>
      <c r="H37" s="79">
        <f>-H30</f>
        <v>-44020.6</v>
      </c>
    </row>
    <row r="38" spans="1:10" x14ac:dyDescent="0.5">
      <c r="B38" s="71" t="s">
        <v>82</v>
      </c>
      <c r="H38" s="79">
        <v>4496</v>
      </c>
    </row>
    <row r="39" spans="1:10" x14ac:dyDescent="0.5">
      <c r="B39" s="71" t="s">
        <v>83</v>
      </c>
      <c r="H39" s="79">
        <v>-1655</v>
      </c>
    </row>
    <row r="40" spans="1:10" x14ac:dyDescent="0.5">
      <c r="B40" s="75" t="s">
        <v>84</v>
      </c>
      <c r="H40" s="79">
        <f>H36+H37+H38+H39</f>
        <v>2841</v>
      </c>
    </row>
    <row r="41" spans="1:10" ht="19.2" x14ac:dyDescent="0.5">
      <c r="A41" s="76" t="s">
        <v>85</v>
      </c>
      <c r="H41" s="81">
        <f>H31+H40</f>
        <v>46862</v>
      </c>
      <c r="I41" s="97" t="s">
        <v>107</v>
      </c>
      <c r="J41" s="109">
        <f>H19-H41</f>
        <v>0.27000000000407454</v>
      </c>
    </row>
    <row r="42" spans="1:10" ht="27" x14ac:dyDescent="0.65">
      <c r="B42" s="100"/>
      <c r="D42" s="73" t="s">
        <v>63</v>
      </c>
      <c r="H42" s="79"/>
    </row>
    <row r="43" spans="1:10" ht="21.6" x14ac:dyDescent="0.55000000000000004">
      <c r="D43" s="77" t="s">
        <v>88</v>
      </c>
      <c r="H43" s="79"/>
    </row>
    <row r="44" spans="1:10" x14ac:dyDescent="0.5">
      <c r="D44" s="72" t="s">
        <v>135</v>
      </c>
      <c r="H44" s="79"/>
    </row>
    <row r="45" spans="1:10" ht="19.2" x14ac:dyDescent="0.5">
      <c r="A45" s="76" t="s">
        <v>4</v>
      </c>
      <c r="C45" s="71"/>
      <c r="D45" s="71"/>
      <c r="H45" s="79"/>
      <c r="I45" s="108"/>
    </row>
    <row r="46" spans="1:10" x14ac:dyDescent="0.5">
      <c r="A46" s="71"/>
      <c r="B46" s="71"/>
      <c r="C46" s="71" t="s">
        <v>17</v>
      </c>
      <c r="D46" s="71"/>
      <c r="E46" s="102"/>
      <c r="H46" s="79">
        <f>Income!D5</f>
        <v>25200</v>
      </c>
    </row>
    <row r="47" spans="1:10" x14ac:dyDescent="0.5">
      <c r="A47" s="71"/>
      <c r="B47" s="71"/>
      <c r="C47" s="71" t="s">
        <v>89</v>
      </c>
      <c r="D47" s="71"/>
      <c r="H47" s="79">
        <f>H15</f>
        <v>0</v>
      </c>
    </row>
    <row r="48" spans="1:10" x14ac:dyDescent="0.5">
      <c r="A48" s="71"/>
      <c r="B48" s="71"/>
      <c r="C48" s="71" t="s">
        <v>90</v>
      </c>
      <c r="D48" s="71"/>
      <c r="H48" s="79">
        <f>Income!D6</f>
        <v>1730</v>
      </c>
    </row>
    <row r="49" spans="1:8" x14ac:dyDescent="0.5">
      <c r="A49" s="71"/>
      <c r="B49" s="71"/>
      <c r="C49" s="71" t="s">
        <v>91</v>
      </c>
      <c r="D49" s="71"/>
      <c r="H49" s="79">
        <f>Income!D7</f>
        <v>0</v>
      </c>
    </row>
    <row r="50" spans="1:8" ht="19.2" x14ac:dyDescent="0.5">
      <c r="A50" s="76" t="s">
        <v>13</v>
      </c>
      <c r="C50" s="71"/>
      <c r="D50" s="71"/>
      <c r="H50" s="81">
        <f>H45+H46+H47+H48+H49</f>
        <v>26930</v>
      </c>
    </row>
    <row r="51" spans="1:8" ht="19.2" x14ac:dyDescent="0.5">
      <c r="A51" s="76" t="s">
        <v>145</v>
      </c>
      <c r="C51" s="71"/>
      <c r="D51" s="71"/>
      <c r="H51" s="79"/>
    </row>
    <row r="52" spans="1:8" x14ac:dyDescent="0.5">
      <c r="A52" s="71"/>
      <c r="B52" s="71"/>
      <c r="C52" s="71" t="s">
        <v>92</v>
      </c>
      <c r="D52" s="71"/>
      <c r="H52" s="79">
        <v>9513</v>
      </c>
    </row>
    <row r="53" spans="1:8" x14ac:dyDescent="0.5">
      <c r="A53" s="71"/>
      <c r="B53" s="71"/>
      <c r="C53" s="71" t="s">
        <v>93</v>
      </c>
      <c r="D53" s="71"/>
      <c r="H53" s="79">
        <f>Expenses!D8</f>
        <v>9513</v>
      </c>
    </row>
    <row r="54" spans="1:8" x14ac:dyDescent="0.5">
      <c r="A54" s="71"/>
      <c r="B54" s="71"/>
      <c r="C54" s="71" t="s">
        <v>25</v>
      </c>
      <c r="D54" s="71"/>
      <c r="H54" s="79"/>
    </row>
    <row r="55" spans="1:8" x14ac:dyDescent="0.5">
      <c r="A55" s="71"/>
      <c r="B55" s="71"/>
      <c r="C55" s="71" t="s">
        <v>94</v>
      </c>
      <c r="D55" s="71"/>
      <c r="H55" s="79"/>
    </row>
    <row r="56" spans="1:8" x14ac:dyDescent="0.5">
      <c r="A56" s="71"/>
      <c r="B56" s="71"/>
      <c r="C56" s="71" t="s">
        <v>95</v>
      </c>
      <c r="D56" s="71"/>
      <c r="H56" s="79"/>
    </row>
    <row r="57" spans="1:8" x14ac:dyDescent="0.5">
      <c r="A57" s="71"/>
      <c r="B57" s="71"/>
      <c r="C57" s="71" t="s">
        <v>96</v>
      </c>
      <c r="D57" s="71"/>
      <c r="H57" s="79"/>
    </row>
    <row r="58" spans="1:8" x14ac:dyDescent="0.5">
      <c r="A58" s="71"/>
      <c r="B58" s="71"/>
      <c r="C58" s="71" t="s">
        <v>0</v>
      </c>
      <c r="D58" s="71"/>
      <c r="H58" s="79"/>
    </row>
    <row r="59" spans="1:8" x14ac:dyDescent="0.5">
      <c r="A59" s="71"/>
      <c r="B59" s="71"/>
      <c r="C59" s="71" t="s">
        <v>0</v>
      </c>
      <c r="D59" s="71"/>
      <c r="H59" s="79"/>
    </row>
    <row r="60" spans="1:8" x14ac:dyDescent="0.5">
      <c r="A60" s="71"/>
      <c r="B60" s="71"/>
      <c r="C60" s="75" t="s">
        <v>97</v>
      </c>
      <c r="D60" s="71"/>
      <c r="H60" s="80">
        <f>SUM(H52:H59)</f>
        <v>19026</v>
      </c>
    </row>
    <row r="61" spans="1:8" x14ac:dyDescent="0.5">
      <c r="A61" s="71"/>
      <c r="B61" s="71"/>
      <c r="C61" s="71" t="s">
        <v>98</v>
      </c>
      <c r="H61" s="79">
        <v>520</v>
      </c>
    </row>
    <row r="62" spans="1:8" x14ac:dyDescent="0.5">
      <c r="A62" s="71"/>
      <c r="B62" s="71"/>
      <c r="C62" s="71"/>
      <c r="H62" s="79"/>
    </row>
    <row r="63" spans="1:8" x14ac:dyDescent="0.5">
      <c r="A63" s="71"/>
      <c r="B63" s="71"/>
      <c r="C63" s="71" t="s">
        <v>0</v>
      </c>
      <c r="H63" s="79"/>
    </row>
    <row r="64" spans="1:8" x14ac:dyDescent="0.5">
      <c r="A64" s="71"/>
      <c r="B64" s="71"/>
      <c r="C64" s="75" t="s">
        <v>99</v>
      </c>
      <c r="D64" s="71"/>
      <c r="H64" s="80">
        <f>SUM(H61:H63)</f>
        <v>520</v>
      </c>
    </row>
    <row r="65" spans="1:9" x14ac:dyDescent="0.5">
      <c r="A65" s="71"/>
      <c r="B65" s="71"/>
      <c r="C65" s="71" t="s">
        <v>22</v>
      </c>
      <c r="H65" s="79"/>
    </row>
    <row r="66" spans="1:9" x14ac:dyDescent="0.5">
      <c r="A66" s="71"/>
      <c r="B66" s="71"/>
      <c r="C66" s="71" t="s">
        <v>18</v>
      </c>
      <c r="H66" s="79"/>
    </row>
    <row r="67" spans="1:9" x14ac:dyDescent="0.5">
      <c r="A67" s="71"/>
      <c r="B67" s="71"/>
      <c r="C67" s="71" t="s">
        <v>100</v>
      </c>
      <c r="H67" s="79"/>
    </row>
    <row r="68" spans="1:9" x14ac:dyDescent="0.5">
      <c r="A68" s="71"/>
      <c r="B68" s="71"/>
      <c r="C68" s="71" t="s">
        <v>20</v>
      </c>
      <c r="H68" s="79">
        <v>310</v>
      </c>
    </row>
    <row r="69" spans="1:9" x14ac:dyDescent="0.5">
      <c r="A69" s="71"/>
      <c r="B69" s="71"/>
      <c r="C69" s="71" t="s">
        <v>101</v>
      </c>
      <c r="H69" s="79"/>
    </row>
    <row r="70" spans="1:9" x14ac:dyDescent="0.5">
      <c r="A70" s="71"/>
      <c r="B70" s="71"/>
      <c r="C70" s="71" t="s">
        <v>3</v>
      </c>
      <c r="H70" s="79"/>
    </row>
    <row r="71" spans="1:9" x14ac:dyDescent="0.5">
      <c r="A71" s="71"/>
      <c r="B71" s="71"/>
      <c r="C71" s="71" t="s">
        <v>26</v>
      </c>
      <c r="H71" s="79">
        <v>216</v>
      </c>
    </row>
    <row r="72" spans="1:9" x14ac:dyDescent="0.5">
      <c r="A72" s="71"/>
      <c r="B72" s="71"/>
      <c r="C72" s="71" t="s">
        <v>11</v>
      </c>
      <c r="H72" s="79"/>
    </row>
    <row r="73" spans="1:9" x14ac:dyDescent="0.5">
      <c r="A73" s="71"/>
      <c r="B73" s="71"/>
      <c r="C73" s="71" t="s">
        <v>21</v>
      </c>
      <c r="H73" s="79">
        <f>Expenses!D22</f>
        <v>0</v>
      </c>
    </row>
    <row r="74" spans="1:9" x14ac:dyDescent="0.5">
      <c r="A74" s="71"/>
      <c r="B74" s="71"/>
      <c r="C74" s="71" t="s">
        <v>102</v>
      </c>
      <c r="H74" s="79">
        <v>740</v>
      </c>
    </row>
    <row r="75" spans="1:9" x14ac:dyDescent="0.5">
      <c r="A75" s="71"/>
      <c r="B75" s="71"/>
      <c r="C75" s="71" t="s">
        <v>29</v>
      </c>
      <c r="H75" s="79"/>
    </row>
    <row r="76" spans="1:9" x14ac:dyDescent="0.5">
      <c r="A76" s="71"/>
      <c r="B76" s="71"/>
      <c r="C76" s="71" t="s">
        <v>0</v>
      </c>
      <c r="H76" s="79"/>
      <c r="I76" s="71"/>
    </row>
    <row r="77" spans="1:9" x14ac:dyDescent="0.5">
      <c r="A77" s="71"/>
      <c r="B77" s="71"/>
      <c r="C77" s="75" t="s">
        <v>103</v>
      </c>
      <c r="D77" s="71"/>
      <c r="H77" s="80">
        <f>SUM(H65:H76)</f>
        <v>1266</v>
      </c>
    </row>
    <row r="78" spans="1:9" x14ac:dyDescent="0.5">
      <c r="A78" s="71"/>
      <c r="B78" s="71"/>
      <c r="C78" s="71" t="s">
        <v>1</v>
      </c>
      <c r="D78" s="71"/>
      <c r="H78" s="80">
        <v>4183</v>
      </c>
    </row>
    <row r="79" spans="1:9" ht="19.2" x14ac:dyDescent="0.5">
      <c r="A79" s="76" t="s">
        <v>105</v>
      </c>
      <c r="B79" s="71"/>
      <c r="D79" s="71"/>
      <c r="H79" s="81">
        <v>15483</v>
      </c>
    </row>
    <row r="80" spans="1:9" x14ac:dyDescent="0.5">
      <c r="C80" s="75" t="s">
        <v>104</v>
      </c>
      <c r="H80" s="79">
        <f>'Reserve Sch.'!D6</f>
        <v>13101.6</v>
      </c>
    </row>
    <row r="81" spans="1:8" ht="19.2" x14ac:dyDescent="0.5">
      <c r="A81" s="76" t="s">
        <v>83</v>
      </c>
      <c r="H81" s="81">
        <f>H50-H79-H80</f>
        <v>-1654.6000000000004</v>
      </c>
    </row>
  </sheetData>
  <pageMargins left="0.7" right="0.7" top="0.5" bottom="0.75" header="0" footer="0.3"/>
  <pageSetup paperSize="5" orientation="portrait" horizontalDpi="0" verticalDpi="0" r:id="rId1"/>
  <rowBreaks count="1" manualBreakCount="1">
    <brk id="4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CDDC9545-56CF-4D45-AD04-47CC00ADC2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44E06A-A2E7-438E-8CB9-2E995F98C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BAD89A-B1E7-4A71-B0D2-6CB0135F2A78}">
  <ds:schemaRefs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16c05727-aa75-4e4a-9b5f-8a80a1165891"/>
    <ds:schemaRef ds:uri="71af3243-3dd4-4a8d-8c0d-dd76da1f02a5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A88AA7C-C69A-481A-8690-2E3094E547D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TM03458075</Template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Summary</vt:lpstr>
      <vt:lpstr>Income</vt:lpstr>
      <vt:lpstr>Expenses</vt:lpstr>
      <vt:lpstr>Checking</vt:lpstr>
      <vt:lpstr>Savings</vt:lpstr>
      <vt:lpstr>CD</vt:lpstr>
      <vt:lpstr>Reserve Sch.</vt:lpstr>
      <vt:lpstr>Fin. Statement</vt:lpstr>
      <vt:lpstr>BUDGET_Title</vt:lpstr>
      <vt:lpstr>ColumnTitle1</vt:lpstr>
      <vt:lpstr>COMPANY_NAME</vt:lpstr>
      <vt:lpstr>Expenses!Print_Titles</vt:lpstr>
      <vt:lpstr>Income!Print_Titles</vt:lpstr>
      <vt:lpstr>Title2</vt:lpstr>
      <vt:lpstr>Title4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2019-03-18T21:11:19Z</dcterms:created>
  <dcterms:modified xsi:type="dcterms:W3CDTF">2025-03-10T21:10:25Z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